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D:\ACTIVE CONTRACT AGREEMENTS\"/>
    </mc:Choice>
  </mc:AlternateContent>
  <xr:revisionPtr revIDLastSave="0" documentId="8_{F246F9F7-8748-4C67-9FEA-0C341BC2D443}" xr6:coauthVersionLast="47" xr6:coauthVersionMax="47" xr10:uidLastSave="{00000000-0000-0000-0000-000000000000}"/>
  <bookViews>
    <workbookView xWindow="-120" yWindow="-120" windowWidth="20730" windowHeight="11040" tabRatio="589" activeTab="1" xr2:uid="{5FEDE28F-11BA-4822-AFCD-A06B4A5B7F99}"/>
  </bookViews>
  <sheets>
    <sheet name="CAPITAL" sheetId="1" r:id="rId1"/>
    <sheet name="OPERATIONAL" sheetId="2" r:id="rId2"/>
    <sheet name="RATES BASED" sheetId="3" r:id="rId3"/>
    <sheet name="EXPIRED" sheetId="4" r:id="rId4"/>
    <sheet name="Sheet2" sheetId="6" r:id="rId5"/>
  </sheets>
  <externalReferences>
    <externalReference r:id="rId6"/>
  </externalReferences>
  <definedNames>
    <definedName name="_xlnm._FilterDatabase" localSheetId="0" hidden="1">CAPITAL!$A$2:$CS$36</definedName>
    <definedName name="_xlnm._FilterDatabase" localSheetId="3" hidden="1">EXPIRED!$A$2:$BR$190</definedName>
    <definedName name="_xlnm._FilterDatabase" localSheetId="1" hidden="1">OPERATIONAL!$A$2:$CT$32</definedName>
    <definedName name="_xlnm._FilterDatabase" localSheetId="2" hidden="1">'RATES BASED'!$A$2:$BQ$38</definedName>
    <definedName name="_Hlk151538880" localSheetId="0">CAPITAL!$C$82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P72" i="3" l="1"/>
  <c r="DM72" i="3"/>
  <c r="DO72" i="3"/>
  <c r="DN72" i="3"/>
  <c r="DL72" i="3"/>
  <c r="DE442" i="3"/>
  <c r="DF442" i="3"/>
  <c r="DG442" i="3"/>
  <c r="DH442" i="3"/>
  <c r="DI442" i="3"/>
  <c r="DJ442" i="3"/>
  <c r="DK442" i="3"/>
  <c r="DL442" i="3"/>
  <c r="DM442" i="3"/>
  <c r="DN442" i="3"/>
  <c r="DO442" i="3"/>
  <c r="DP442" i="3"/>
  <c r="DN440" i="3" l="1"/>
  <c r="DP458" i="3"/>
  <c r="DP448" i="3"/>
  <c r="DS35" i="2"/>
  <c r="DT35" i="2" s="1"/>
  <c r="DO35" i="2"/>
  <c r="DQ34" i="2"/>
  <c r="DO34" i="2"/>
  <c r="DI34" i="2"/>
  <c r="DT34" i="2" s="1"/>
  <c r="DN30" i="2"/>
  <c r="DM30" i="2"/>
  <c r="DH30" i="2"/>
  <c r="DK22" i="2"/>
  <c r="DI22" i="2"/>
  <c r="DP22" i="2"/>
  <c r="DO22" i="2"/>
  <c r="DS22" i="2"/>
  <c r="DH9" i="2"/>
  <c r="DL9" i="2"/>
  <c r="DS13" i="2"/>
  <c r="DR13" i="2"/>
  <c r="DQ13" i="2"/>
  <c r="DP13" i="2"/>
  <c r="DO13" i="2"/>
  <c r="DK13" i="2"/>
  <c r="DJ13" i="2"/>
  <c r="DI13" i="2"/>
  <c r="DH13" i="2"/>
  <c r="DS11" i="2"/>
  <c r="DK4" i="3"/>
  <c r="DJ4" i="3"/>
  <c r="DI4" i="3"/>
  <c r="DH4" i="3"/>
  <c r="DG4" i="3"/>
  <c r="DE4" i="3"/>
  <c r="DO4" i="3"/>
  <c r="DL4" i="3"/>
  <c r="DH37" i="3"/>
  <c r="DP441" i="3"/>
  <c r="DN441" i="3"/>
  <c r="DM37" i="2"/>
  <c r="DO37" i="2"/>
  <c r="DT37" i="2" s="1"/>
  <c r="DT4" i="2"/>
  <c r="DT5" i="2"/>
  <c r="DT6" i="2"/>
  <c r="DT7" i="2"/>
  <c r="DT8" i="2"/>
  <c r="DT10" i="2"/>
  <c r="DT12" i="2"/>
  <c r="DT14" i="2"/>
  <c r="DT15" i="2"/>
  <c r="DT16" i="2"/>
  <c r="DT17" i="2"/>
  <c r="DT18" i="2"/>
  <c r="DT19" i="2"/>
  <c r="DT20" i="2"/>
  <c r="DT21" i="2"/>
  <c r="DT23" i="2"/>
  <c r="DT24" i="2"/>
  <c r="DT25" i="2"/>
  <c r="DT26" i="2"/>
  <c r="DT27" i="2"/>
  <c r="DT28" i="2"/>
  <c r="DT29" i="2"/>
  <c r="DT30" i="2"/>
  <c r="DT31" i="2"/>
  <c r="DT32" i="2"/>
  <c r="DT33" i="2"/>
  <c r="DT38" i="2"/>
  <c r="DT39" i="2"/>
  <c r="DT40" i="2"/>
  <c r="DT41" i="2"/>
  <c r="DT42" i="2"/>
  <c r="DT43" i="2"/>
  <c r="DT44" i="2"/>
  <c r="DT45" i="2"/>
  <c r="DT46" i="2"/>
  <c r="DT3" i="2"/>
  <c r="DT22" i="2" l="1"/>
  <c r="DT9" i="2"/>
  <c r="DO36" i="2"/>
  <c r="DT36" i="2" s="1"/>
  <c r="DR45" i="1" l="1"/>
  <c r="DS45" i="1" s="1"/>
  <c r="DS5" i="1"/>
  <c r="DS6" i="1"/>
  <c r="DS7" i="1"/>
  <c r="DS8" i="1"/>
  <c r="DS9" i="1"/>
  <c r="DS10" i="1"/>
  <c r="DS12" i="1"/>
  <c r="DS13" i="1"/>
  <c r="DS14" i="1"/>
  <c r="DS15" i="1"/>
  <c r="DS16" i="1"/>
  <c r="DS17" i="1"/>
  <c r="DS18" i="1"/>
  <c r="DS19" i="1"/>
  <c r="DS20" i="1"/>
  <c r="DS21" i="1"/>
  <c r="DS22" i="1"/>
  <c r="DS23" i="1"/>
  <c r="DS24" i="1"/>
  <c r="DS25" i="1"/>
  <c r="DS26" i="1"/>
  <c r="DS27" i="1"/>
  <c r="DS28" i="1"/>
  <c r="DS29" i="1"/>
  <c r="DS30" i="1"/>
  <c r="DS31" i="1"/>
  <c r="DS32" i="1"/>
  <c r="DS33" i="1"/>
  <c r="DS34" i="1"/>
  <c r="DS35" i="1"/>
  <c r="DS36" i="1"/>
  <c r="DS37" i="1"/>
  <c r="DS38" i="1"/>
  <c r="DS39" i="1"/>
  <c r="DS40" i="1"/>
  <c r="DS41" i="1"/>
  <c r="DS42" i="1"/>
  <c r="DS43" i="1"/>
  <c r="DS46" i="1"/>
  <c r="DS47" i="1"/>
  <c r="DS48" i="1"/>
  <c r="DS49" i="1"/>
  <c r="DS50" i="1"/>
  <c r="DS51" i="1"/>
  <c r="DS52" i="1"/>
  <c r="DS53" i="1"/>
  <c r="DS54" i="1"/>
  <c r="DS55" i="1"/>
  <c r="DS56" i="1"/>
  <c r="DS57" i="1"/>
  <c r="DS59" i="1"/>
  <c r="DS60" i="1"/>
  <c r="DS61" i="1"/>
  <c r="DS64" i="1"/>
  <c r="DS65" i="1"/>
  <c r="DS66" i="1"/>
  <c r="DS67" i="1"/>
  <c r="DS68" i="1"/>
  <c r="DS69" i="1"/>
  <c r="DS70" i="1"/>
  <c r="DS71" i="1"/>
  <c r="DS73" i="1"/>
  <c r="DS74" i="1"/>
  <c r="DS75" i="1"/>
  <c r="DS76" i="1"/>
  <c r="DS77" i="1"/>
  <c r="DS79" i="1"/>
  <c r="DS80" i="1"/>
  <c r="DS81" i="1"/>
  <c r="DS82" i="1"/>
  <c r="DS83" i="1"/>
  <c r="DS84" i="1"/>
  <c r="DS85" i="1"/>
  <c r="DS86" i="1"/>
  <c r="DS87" i="1"/>
  <c r="DS88" i="1"/>
  <c r="DS89" i="1"/>
  <c r="DS90" i="1"/>
  <c r="DS91" i="1"/>
  <c r="DS92" i="1"/>
  <c r="DS93" i="1"/>
  <c r="DS94" i="1"/>
  <c r="DS95" i="1"/>
  <c r="DS96" i="1"/>
  <c r="DS4" i="1"/>
  <c r="DN58" i="1" l="1"/>
  <c r="DS58" i="1" s="1"/>
  <c r="DJ62" i="1"/>
  <c r="DS62" i="1" s="1"/>
  <c r="DM63" i="1"/>
  <c r="DS63" i="1" s="1"/>
  <c r="DR72" i="1"/>
  <c r="DS72" i="1" s="1"/>
  <c r="K86" i="1" l="1"/>
  <c r="K96" i="1"/>
  <c r="K92" i="1"/>
  <c r="AH4" i="2" l="1"/>
  <c r="AG3" i="1"/>
  <c r="DN78" i="1" l="1"/>
  <c r="DS78" i="1" s="1"/>
  <c r="DN44" i="1"/>
  <c r="DS44" i="1" s="1"/>
  <c r="DF72" i="3" l="1"/>
  <c r="DE72" i="3"/>
  <c r="DK38" i="3"/>
  <c r="DQ4" i="3"/>
  <c r="AE4" i="3" s="1"/>
  <c r="DN13" i="2"/>
  <c r="DM13" i="2"/>
  <c r="DL13" i="2"/>
  <c r="DT13" i="2" s="1"/>
  <c r="DN11" i="2"/>
  <c r="DJ11" i="2"/>
  <c r="K5" i="1"/>
  <c r="DT11" i="2" l="1"/>
  <c r="Y5" i="1"/>
  <c r="K247" i="4"/>
  <c r="R35" i="2" l="1"/>
  <c r="R33" i="2"/>
  <c r="R34" i="2"/>
  <c r="R32" i="2"/>
  <c r="DC75" i="1"/>
  <c r="L23" i="2" l="1"/>
  <c r="DD442" i="3"/>
  <c r="DD441" i="3"/>
  <c r="AB86" i="1"/>
  <c r="AB88" i="1"/>
  <c r="AB89" i="1"/>
  <c r="K24" i="1"/>
  <c r="N46" i="3"/>
  <c r="O46" i="3" s="1"/>
  <c r="P46" i="3" s="1"/>
  <c r="Q46" i="3"/>
  <c r="T46" i="3"/>
  <c r="CQ46" i="3"/>
  <c r="W46" i="3" s="1"/>
  <c r="CU46" i="3"/>
  <c r="DD46" i="3" s="1"/>
  <c r="AA46" i="3" s="1"/>
  <c r="DA18" i="3"/>
  <c r="CV6" i="3"/>
  <c r="CU6" i="3"/>
  <c r="DE35" i="2"/>
  <c r="DA35" i="2"/>
  <c r="CV35" i="2"/>
  <c r="CU10" i="1"/>
  <c r="DC4" i="1" l="1"/>
  <c r="DD13" i="3" l="1"/>
  <c r="DC34" i="2" l="1"/>
  <c r="DG9" i="2"/>
  <c r="CW5" i="2"/>
  <c r="DG5" i="2" s="1"/>
  <c r="DC6" i="2"/>
  <c r="DD6" i="2"/>
  <c r="DF6" i="2"/>
  <c r="DE6" i="2"/>
  <c r="DB6" i="2"/>
  <c r="DA6" i="2"/>
  <c r="CZ6" i="2"/>
  <c r="CY6" i="2"/>
  <c r="CX6" i="2"/>
  <c r="CW6" i="2"/>
  <c r="CV6" i="2"/>
  <c r="CU6" i="2"/>
  <c r="DG3" i="2"/>
  <c r="CX11" i="2"/>
  <c r="CZ11" i="2"/>
  <c r="CV11" i="2"/>
  <c r="DE45" i="1"/>
  <c r="DG6" i="2" l="1"/>
  <c r="DG11" i="2"/>
  <c r="CT14" i="1" l="1"/>
  <c r="DB18" i="1"/>
  <c r="DF45" i="1" l="1"/>
  <c r="DL305" i="4"/>
  <c r="DG305" i="4"/>
  <c r="DF305" i="4"/>
  <c r="DE305" i="4"/>
  <c r="DD305" i="4"/>
  <c r="DO308" i="4"/>
  <c r="DO307" i="4"/>
  <c r="DO306" i="4"/>
  <c r="DO304" i="4"/>
  <c r="DO303" i="4"/>
  <c r="DO302" i="4"/>
  <c r="DO301" i="4"/>
  <c r="DO300" i="4"/>
  <c r="DO299" i="4"/>
  <c r="DO298" i="4"/>
  <c r="DO297" i="4"/>
  <c r="DO296" i="4"/>
  <c r="DO295" i="4"/>
  <c r="DO294" i="4"/>
  <c r="DO293" i="4"/>
  <c r="DO292" i="4"/>
  <c r="DO291" i="4"/>
  <c r="DO290" i="4"/>
  <c r="DO289" i="4"/>
  <c r="DO288" i="4"/>
  <c r="DO287" i="4"/>
  <c r="DO286" i="4"/>
  <c r="DO285" i="4"/>
  <c r="DO284" i="4"/>
  <c r="DO283" i="4"/>
  <c r="DO282" i="4"/>
  <c r="DO281" i="4"/>
  <c r="DO280" i="4"/>
  <c r="DO279" i="4"/>
  <c r="DO278" i="4"/>
  <c r="DO277" i="4"/>
  <c r="DO276" i="4"/>
  <c r="DO275" i="4"/>
  <c r="DO274" i="4"/>
  <c r="DO273" i="4"/>
  <c r="DO272" i="4"/>
  <c r="DO271" i="4"/>
  <c r="DO270" i="4"/>
  <c r="DO269" i="4"/>
  <c r="DO268" i="4"/>
  <c r="DO267" i="4"/>
  <c r="DO266" i="4"/>
  <c r="DO265" i="4"/>
  <c r="DO264" i="4"/>
  <c r="DO263" i="4"/>
  <c r="DO262" i="4"/>
  <c r="DO261" i="4"/>
  <c r="DO260" i="4"/>
  <c r="DO259" i="4"/>
  <c r="DO258" i="4"/>
  <c r="DO257" i="4"/>
  <c r="DO256" i="4"/>
  <c r="DO255" i="4"/>
  <c r="DO254" i="4"/>
  <c r="DO253" i="4"/>
  <c r="DO252" i="4"/>
  <c r="DO251" i="4"/>
  <c r="DO250" i="4"/>
  <c r="DO249" i="4"/>
  <c r="DO248" i="4"/>
  <c r="DO247" i="4"/>
  <c r="DO246" i="4"/>
  <c r="DO245" i="4"/>
  <c r="DO244" i="4"/>
  <c r="DO243" i="4"/>
  <c r="DO242" i="4"/>
  <c r="DO241" i="4"/>
  <c r="DO240" i="4"/>
  <c r="DO239" i="4"/>
  <c r="DO238" i="4"/>
  <c r="DO237" i="4"/>
  <c r="DO236" i="4"/>
  <c r="DO235" i="4"/>
  <c r="DO234" i="4"/>
  <c r="DO233" i="4"/>
  <c r="DO232" i="4"/>
  <c r="DO231" i="4"/>
  <c r="DO230" i="4"/>
  <c r="DO229" i="4"/>
  <c r="DO228" i="4"/>
  <c r="DO227" i="4"/>
  <c r="DO226" i="4"/>
  <c r="DO225" i="4"/>
  <c r="DO224" i="4"/>
  <c r="DO223" i="4"/>
  <c r="DO222" i="4"/>
  <c r="DO221" i="4"/>
  <c r="DO220" i="4"/>
  <c r="DO219" i="4"/>
  <c r="DO218" i="4"/>
  <c r="DO217" i="4"/>
  <c r="DO216" i="4"/>
  <c r="DO215" i="4"/>
  <c r="DO214" i="4"/>
  <c r="DO213" i="4"/>
  <c r="DO212" i="4"/>
  <c r="DO211" i="4"/>
  <c r="DO210" i="4"/>
  <c r="DO209" i="4"/>
  <c r="DO208" i="4"/>
  <c r="DO207" i="4"/>
  <c r="DO206" i="4"/>
  <c r="DO205" i="4"/>
  <c r="DO204" i="4"/>
  <c r="DO203" i="4"/>
  <c r="DO202" i="4"/>
  <c r="DO201" i="4"/>
  <c r="DO200" i="4"/>
  <c r="DO199" i="4"/>
  <c r="DO198" i="4"/>
  <c r="DO197" i="4"/>
  <c r="DO196" i="4"/>
  <c r="DO195" i="4"/>
  <c r="DO194" i="4"/>
  <c r="DO193" i="4"/>
  <c r="DO192" i="4"/>
  <c r="DO191" i="4"/>
  <c r="DO190" i="4"/>
  <c r="DO189" i="4"/>
  <c r="DO188" i="4"/>
  <c r="DO187" i="4"/>
  <c r="DO186" i="4"/>
  <c r="DO185" i="4"/>
  <c r="DO184" i="4"/>
  <c r="DO183" i="4"/>
  <c r="DO182" i="4"/>
  <c r="DO181" i="4"/>
  <c r="DO180" i="4"/>
  <c r="DO179" i="4"/>
  <c r="DO178" i="4"/>
  <c r="DO177" i="4"/>
  <c r="DO176" i="4"/>
  <c r="DO175" i="4"/>
  <c r="DO174" i="4"/>
  <c r="DO173" i="4"/>
  <c r="DO172" i="4"/>
  <c r="DO171" i="4"/>
  <c r="DO170" i="4"/>
  <c r="DO169" i="4"/>
  <c r="DO168" i="4"/>
  <c r="DO167" i="4"/>
  <c r="DO166" i="4"/>
  <c r="DO165" i="4"/>
  <c r="DO164" i="4"/>
  <c r="DO163" i="4"/>
  <c r="DO162" i="4"/>
  <c r="DO161" i="4"/>
  <c r="DO160" i="4"/>
  <c r="DO159" i="4"/>
  <c r="DO158" i="4"/>
  <c r="DO157" i="4"/>
  <c r="DO156" i="4"/>
  <c r="DO155" i="4"/>
  <c r="DO154" i="4"/>
  <c r="DO153" i="4"/>
  <c r="DO152" i="4"/>
  <c r="DO151" i="4"/>
  <c r="DO150" i="4"/>
  <c r="DO149" i="4"/>
  <c r="DO148" i="4"/>
  <c r="DO147" i="4"/>
  <c r="DO146" i="4"/>
  <c r="DO145" i="4"/>
  <c r="DO144" i="4"/>
  <c r="DO143" i="4"/>
  <c r="DO142" i="4"/>
  <c r="DO141" i="4"/>
  <c r="DO140" i="4"/>
  <c r="DO139" i="4"/>
  <c r="DO138" i="4"/>
  <c r="DO137" i="4"/>
  <c r="DO136" i="4"/>
  <c r="DO135" i="4"/>
  <c r="DO134" i="4"/>
  <c r="DO133" i="4"/>
  <c r="DO132" i="4"/>
  <c r="DO131" i="4"/>
  <c r="DO130" i="4"/>
  <c r="DO129" i="4"/>
  <c r="DO128" i="4"/>
  <c r="DO127" i="4"/>
  <c r="DO126" i="4"/>
  <c r="DO125" i="4"/>
  <c r="DO124" i="4"/>
  <c r="DO123" i="4"/>
  <c r="DO122" i="4"/>
  <c r="DO121" i="4"/>
  <c r="DO120" i="4"/>
  <c r="DO119" i="4"/>
  <c r="DO118" i="4"/>
  <c r="DO117" i="4"/>
  <c r="DO116" i="4"/>
  <c r="DO115" i="4"/>
  <c r="DO114" i="4"/>
  <c r="DO113" i="4"/>
  <c r="DO112" i="4"/>
  <c r="DO111" i="4"/>
  <c r="DO110" i="4"/>
  <c r="DO109" i="4"/>
  <c r="DO108" i="4"/>
  <c r="DO107" i="4"/>
  <c r="DO106" i="4"/>
  <c r="DO105" i="4"/>
  <c r="DO104" i="4"/>
  <c r="DO103" i="4"/>
  <c r="DO102" i="4"/>
  <c r="DO101" i="4"/>
  <c r="DO100" i="4"/>
  <c r="DO99" i="4"/>
  <c r="DO98" i="4"/>
  <c r="DO97" i="4"/>
  <c r="DO96" i="4"/>
  <c r="DO95" i="4"/>
  <c r="DO94" i="4"/>
  <c r="DO93" i="4"/>
  <c r="DO92" i="4"/>
  <c r="DO91" i="4"/>
  <c r="DO90" i="4"/>
  <c r="DO89" i="4"/>
  <c r="DO88" i="4"/>
  <c r="DO87" i="4"/>
  <c r="DO86" i="4"/>
  <c r="DO85" i="4"/>
  <c r="DO84" i="4"/>
  <c r="DO83" i="4"/>
  <c r="DO82" i="4"/>
  <c r="DO81" i="4"/>
  <c r="DO80" i="4"/>
  <c r="DO79" i="4"/>
  <c r="DO78" i="4"/>
  <c r="DO77" i="4"/>
  <c r="DO76" i="4"/>
  <c r="DO75" i="4"/>
  <c r="DO74" i="4"/>
  <c r="DO73" i="4"/>
  <c r="DO72" i="4"/>
  <c r="DO71" i="4"/>
  <c r="DO70" i="4"/>
  <c r="DO69" i="4"/>
  <c r="DO68" i="4"/>
  <c r="DO67" i="4"/>
  <c r="DO66" i="4"/>
  <c r="DO65" i="4"/>
  <c r="DO64" i="4"/>
  <c r="DO63" i="4"/>
  <c r="DO62" i="4"/>
  <c r="DO61" i="4"/>
  <c r="DO60" i="4"/>
  <c r="DO59" i="4"/>
  <c r="DO58" i="4"/>
  <c r="DO57" i="4"/>
  <c r="DO56" i="4"/>
  <c r="DO55" i="4"/>
  <c r="DO54" i="4"/>
  <c r="DO53" i="4"/>
  <c r="DO52" i="4"/>
  <c r="DO51" i="4"/>
  <c r="DO50" i="4"/>
  <c r="DO49" i="4"/>
  <c r="DO48" i="4"/>
  <c r="DO47" i="4"/>
  <c r="DO46" i="4"/>
  <c r="DO45" i="4"/>
  <c r="DO44" i="4"/>
  <c r="DO43" i="4"/>
  <c r="DO42" i="4"/>
  <c r="DO41" i="4"/>
  <c r="DO40" i="4"/>
  <c r="DO39" i="4"/>
  <c r="DO38" i="4"/>
  <c r="DO37" i="4"/>
  <c r="DO36" i="4"/>
  <c r="DO35" i="4"/>
  <c r="DO34" i="4"/>
  <c r="DO33" i="4"/>
  <c r="DO32" i="4"/>
  <c r="DO31" i="4"/>
  <c r="DO30" i="4"/>
  <c r="DO29" i="4"/>
  <c r="DO28" i="4"/>
  <c r="DO27" i="4"/>
  <c r="DO26" i="4"/>
  <c r="DO25" i="4"/>
  <c r="DO24" i="4"/>
  <c r="DO23" i="4"/>
  <c r="DO22" i="4"/>
  <c r="DO21" i="4"/>
  <c r="DO20" i="4"/>
  <c r="DO19" i="4"/>
  <c r="DO18" i="4"/>
  <c r="DO17" i="4"/>
  <c r="DO16" i="4"/>
  <c r="DO15" i="4"/>
  <c r="DO14" i="4"/>
  <c r="DO13" i="4"/>
  <c r="DO12" i="4"/>
  <c r="DO11" i="4"/>
  <c r="DO10" i="4"/>
  <c r="DO9" i="4"/>
  <c r="DO8" i="4"/>
  <c r="DO7" i="4"/>
  <c r="DO6" i="4"/>
  <c r="DO5" i="4"/>
  <c r="DO4" i="4"/>
  <c r="DO3" i="4"/>
  <c r="DE312" i="4"/>
  <c r="DO312" i="4" s="1"/>
  <c r="DE311" i="4"/>
  <c r="DF311" i="4"/>
  <c r="DO310" i="4"/>
  <c r="DO313" i="4"/>
  <c r="DO314" i="4"/>
  <c r="DL309" i="4"/>
  <c r="DK309" i="4"/>
  <c r="DJ309" i="4"/>
  <c r="DI309" i="4"/>
  <c r="DH309" i="4"/>
  <c r="DD393" i="3"/>
  <c r="DD402" i="3"/>
  <c r="DD408" i="3"/>
  <c r="DD416" i="3"/>
  <c r="DD419" i="3"/>
  <c r="DD420" i="3"/>
  <c r="DD430" i="3"/>
  <c r="DD178" i="3"/>
  <c r="DD179" i="3"/>
  <c r="DD180" i="3"/>
  <c r="DD181" i="3"/>
  <c r="DD182" i="3"/>
  <c r="DD183" i="3"/>
  <c r="DD184" i="3"/>
  <c r="DD185" i="3"/>
  <c r="DD186" i="3"/>
  <c r="DD187" i="3"/>
  <c r="DD188" i="3"/>
  <c r="DD189" i="3"/>
  <c r="DD190" i="3"/>
  <c r="DD191" i="3"/>
  <c r="DD192" i="3"/>
  <c r="DD193" i="3"/>
  <c r="DD194" i="3"/>
  <c r="DD195" i="3"/>
  <c r="DD196" i="3"/>
  <c r="DD197" i="3"/>
  <c r="DD198" i="3"/>
  <c r="DD199" i="3"/>
  <c r="DD200" i="3"/>
  <c r="DD201" i="3"/>
  <c r="DD202" i="3"/>
  <c r="DD203" i="3"/>
  <c r="DD204" i="3"/>
  <c r="DD205" i="3"/>
  <c r="DD206" i="3"/>
  <c r="DD207" i="3"/>
  <c r="DD208" i="3"/>
  <c r="DD209" i="3"/>
  <c r="DD210" i="3"/>
  <c r="DD211" i="3"/>
  <c r="DD212" i="3"/>
  <c r="DD213" i="3"/>
  <c r="DD214" i="3"/>
  <c r="DD215" i="3"/>
  <c r="DD216" i="3"/>
  <c r="DD217" i="3"/>
  <c r="DD218" i="3"/>
  <c r="DD219" i="3"/>
  <c r="DD220" i="3"/>
  <c r="DD221" i="3"/>
  <c r="DD222" i="3"/>
  <c r="DD223" i="3"/>
  <c r="DD224" i="3"/>
  <c r="DD225" i="3"/>
  <c r="DD226" i="3"/>
  <c r="DD227" i="3"/>
  <c r="DD228" i="3"/>
  <c r="DD229" i="3"/>
  <c r="DD230" i="3"/>
  <c r="DD231" i="3"/>
  <c r="DD232" i="3"/>
  <c r="DD233" i="3"/>
  <c r="DD234" i="3"/>
  <c r="DD235" i="3"/>
  <c r="DD236" i="3"/>
  <c r="DD237" i="3"/>
  <c r="DD238" i="3"/>
  <c r="DD239" i="3"/>
  <c r="DD240" i="3"/>
  <c r="DD241" i="3"/>
  <c r="DD242" i="3"/>
  <c r="DD243" i="3"/>
  <c r="DD244" i="3"/>
  <c r="DD245" i="3"/>
  <c r="DD246" i="3"/>
  <c r="DD247" i="3"/>
  <c r="DD248" i="3"/>
  <c r="DD249" i="3"/>
  <c r="DD250" i="3"/>
  <c r="DD251" i="3"/>
  <c r="DD252" i="3"/>
  <c r="DD253" i="3"/>
  <c r="DD254" i="3"/>
  <c r="DD255" i="3"/>
  <c r="DD256" i="3"/>
  <c r="DD257" i="3"/>
  <c r="DD258" i="3"/>
  <c r="DD259" i="3"/>
  <c r="DD260" i="3"/>
  <c r="DD261" i="3"/>
  <c r="DD262" i="3"/>
  <c r="DD263" i="3"/>
  <c r="DD264" i="3"/>
  <c r="DD265" i="3"/>
  <c r="DD266" i="3"/>
  <c r="DD267" i="3"/>
  <c r="DD268" i="3"/>
  <c r="DD269" i="3"/>
  <c r="DD270" i="3"/>
  <c r="DD271" i="3"/>
  <c r="DD272" i="3"/>
  <c r="DD273" i="3"/>
  <c r="DD274" i="3"/>
  <c r="DD275" i="3"/>
  <c r="DD276" i="3"/>
  <c r="DD277" i="3"/>
  <c r="DD278" i="3"/>
  <c r="DD279" i="3"/>
  <c r="DD280" i="3"/>
  <c r="DD281" i="3"/>
  <c r="DD282" i="3"/>
  <c r="DD283" i="3"/>
  <c r="DD284" i="3"/>
  <c r="DD285" i="3"/>
  <c r="DD286" i="3"/>
  <c r="DD287" i="3"/>
  <c r="DD288" i="3"/>
  <c r="DD289" i="3"/>
  <c r="DD290" i="3"/>
  <c r="DD291" i="3"/>
  <c r="DD292" i="3"/>
  <c r="DD293" i="3"/>
  <c r="DD294" i="3"/>
  <c r="DD295" i="3"/>
  <c r="DD296" i="3"/>
  <c r="DD297" i="3"/>
  <c r="DD298" i="3"/>
  <c r="DD299" i="3"/>
  <c r="DD300" i="3"/>
  <c r="DD301" i="3"/>
  <c r="DD302" i="3"/>
  <c r="DD303" i="3"/>
  <c r="DD304" i="3"/>
  <c r="DD305" i="3"/>
  <c r="DD306" i="3"/>
  <c r="DD307" i="3"/>
  <c r="DD308" i="3"/>
  <c r="DD309" i="3"/>
  <c r="DD310" i="3"/>
  <c r="DD311" i="3"/>
  <c r="DD312" i="3"/>
  <c r="DD313" i="3"/>
  <c r="DD314" i="3"/>
  <c r="DD315" i="3"/>
  <c r="DD316" i="3"/>
  <c r="DD317" i="3"/>
  <c r="DD318" i="3"/>
  <c r="DD319" i="3"/>
  <c r="DD320" i="3"/>
  <c r="DD321" i="3"/>
  <c r="DD322" i="3"/>
  <c r="DD323" i="3"/>
  <c r="DD324" i="3"/>
  <c r="DD325" i="3"/>
  <c r="DD326" i="3"/>
  <c r="DD327" i="3"/>
  <c r="DD328" i="3"/>
  <c r="DD329" i="3"/>
  <c r="DD330" i="3"/>
  <c r="DD331" i="3"/>
  <c r="DD332" i="3"/>
  <c r="DD333" i="3"/>
  <c r="DD334" i="3"/>
  <c r="DD335" i="3"/>
  <c r="DD336" i="3"/>
  <c r="DD337" i="3"/>
  <c r="DD338" i="3"/>
  <c r="DD339" i="3"/>
  <c r="DD340" i="3"/>
  <c r="DD341" i="3"/>
  <c r="DD342" i="3"/>
  <c r="DD343" i="3"/>
  <c r="DD344" i="3"/>
  <c r="DD345" i="3"/>
  <c r="DD346" i="3"/>
  <c r="DD347" i="3"/>
  <c r="DD348" i="3"/>
  <c r="DD349" i="3"/>
  <c r="DD350" i="3"/>
  <c r="DD351" i="3"/>
  <c r="DD352" i="3"/>
  <c r="DD353" i="3"/>
  <c r="DD354" i="3"/>
  <c r="DD355" i="3"/>
  <c r="DD356" i="3"/>
  <c r="DD357" i="3"/>
  <c r="DD358" i="3"/>
  <c r="DD359" i="3"/>
  <c r="DD360" i="3"/>
  <c r="DD361" i="3"/>
  <c r="DD362" i="3"/>
  <c r="DD363" i="3"/>
  <c r="DD364" i="3"/>
  <c r="DD365" i="3"/>
  <c r="DD366" i="3"/>
  <c r="DD367" i="3"/>
  <c r="DD368" i="3"/>
  <c r="DD369" i="3"/>
  <c r="DD370" i="3"/>
  <c r="DD371" i="3"/>
  <c r="DD372" i="3"/>
  <c r="DD373" i="3"/>
  <c r="DD374" i="3"/>
  <c r="DD375" i="3"/>
  <c r="DD376" i="3"/>
  <c r="DD377" i="3"/>
  <c r="DD378" i="3"/>
  <c r="DD379" i="3"/>
  <c r="DD380" i="3"/>
  <c r="DD381" i="3"/>
  <c r="DD382" i="3"/>
  <c r="DD383" i="3"/>
  <c r="DD384" i="3"/>
  <c r="DD385" i="3"/>
  <c r="DD386" i="3"/>
  <c r="DD387" i="3"/>
  <c r="DD388" i="3"/>
  <c r="DD389" i="3"/>
  <c r="DD390" i="3"/>
  <c r="DD391" i="3"/>
  <c r="DD392" i="3"/>
  <c r="DD394" i="3"/>
  <c r="DD395" i="3"/>
  <c r="DD397" i="3"/>
  <c r="DD398" i="3"/>
  <c r="DD399" i="3"/>
  <c r="DD400" i="3"/>
  <c r="DD401" i="3"/>
  <c r="DD403" i="3"/>
  <c r="DD404" i="3"/>
  <c r="DD405" i="3"/>
  <c r="DD406" i="3"/>
  <c r="DD407" i="3"/>
  <c r="DD409" i="3"/>
  <c r="DD410" i="3"/>
  <c r="DD411" i="3"/>
  <c r="DD412" i="3"/>
  <c r="DD413" i="3"/>
  <c r="DD414" i="3"/>
  <c r="DD417" i="3"/>
  <c r="DD418" i="3"/>
  <c r="DD421" i="3"/>
  <c r="DD422" i="3"/>
  <c r="DD423" i="3"/>
  <c r="DD424" i="3"/>
  <c r="DD425" i="3"/>
  <c r="DD426" i="3"/>
  <c r="DD427" i="3"/>
  <c r="DD428" i="3"/>
  <c r="DD429" i="3"/>
  <c r="DD431" i="3"/>
  <c r="DD432" i="3"/>
  <c r="DD433" i="3"/>
  <c r="DD434" i="3"/>
  <c r="DD435" i="3"/>
  <c r="DD436" i="3"/>
  <c r="DD437" i="3"/>
  <c r="DD438" i="3"/>
  <c r="DD439" i="3"/>
  <c r="DD440" i="3"/>
  <c r="DC177" i="3"/>
  <c r="DD177" i="3" s="1"/>
  <c r="CZ176" i="3"/>
  <c r="DD176" i="3" s="1"/>
  <c r="DC72" i="3"/>
  <c r="DA72" i="3"/>
  <c r="CZ72" i="3"/>
  <c r="CY72" i="3"/>
  <c r="CS72" i="3"/>
  <c r="CR72" i="3"/>
  <c r="DC38" i="3"/>
  <c r="CX38" i="3"/>
  <c r="DA37" i="3"/>
  <c r="CW37" i="3"/>
  <c r="CT37" i="3"/>
  <c r="DD18" i="3"/>
  <c r="CZ14" i="3"/>
  <c r="CY14" i="3"/>
  <c r="DC9" i="3"/>
  <c r="DC4" i="3"/>
  <c r="DB4" i="3"/>
  <c r="DA4" i="3"/>
  <c r="CZ4" i="3"/>
  <c r="CY4" i="3"/>
  <c r="CX4" i="3"/>
  <c r="CW4" i="3"/>
  <c r="CV4" i="3"/>
  <c r="CU4" i="3"/>
  <c r="DO311" i="4" l="1"/>
  <c r="DO305" i="4"/>
  <c r="DD37" i="3"/>
  <c r="DD72" i="3"/>
  <c r="DD415" i="3"/>
  <c r="DD396" i="3"/>
  <c r="DO309" i="4"/>
  <c r="CS4" i="3"/>
  <c r="DD4" i="3" s="1"/>
  <c r="DF12" i="2"/>
  <c r="DD12" i="2"/>
  <c r="CZ12" i="2"/>
  <c r="DC27" i="2" l="1"/>
  <c r="CU30" i="2"/>
  <c r="CZ33" i="2"/>
  <c r="CY29" i="2"/>
  <c r="DF29" i="2"/>
  <c r="DG29" i="2" s="1"/>
  <c r="DD33" i="2"/>
  <c r="DC33" i="2"/>
  <c r="DG32" i="2"/>
  <c r="DG33" i="2" l="1"/>
  <c r="DC74" i="1"/>
  <c r="DF75" i="1"/>
  <c r="DF47" i="1"/>
  <c r="CZ52" i="1" l="1"/>
  <c r="DF52" i="1" s="1"/>
  <c r="DF63" i="1"/>
  <c r="DF64" i="1"/>
  <c r="DC70" i="1"/>
  <c r="DF70" i="1" s="1"/>
  <c r="DF71" i="1"/>
  <c r="DF76" i="1"/>
  <c r="DF84" i="1"/>
  <c r="DF85" i="1"/>
  <c r="K64" i="1" l="1"/>
  <c r="DF4" i="1" l="1"/>
  <c r="DF5" i="1"/>
  <c r="DF6" i="1"/>
  <c r="DF7" i="1"/>
  <c r="DF8" i="1"/>
  <c r="DF9" i="1"/>
  <c r="DF10" i="1"/>
  <c r="DF12" i="1"/>
  <c r="DF13" i="1"/>
  <c r="DF14" i="1"/>
  <c r="DF15" i="1"/>
  <c r="DF16" i="1"/>
  <c r="DF17" i="1"/>
  <c r="DF19" i="1"/>
  <c r="DF20" i="1"/>
  <c r="DF21" i="1"/>
  <c r="DF22" i="1"/>
  <c r="DF23" i="1"/>
  <c r="DF24" i="1"/>
  <c r="DF25" i="1"/>
  <c r="DF26" i="1"/>
  <c r="DF27" i="1"/>
  <c r="DF28" i="1"/>
  <c r="DF29" i="1"/>
  <c r="DF30" i="1"/>
  <c r="DF31" i="1"/>
  <c r="DF32" i="1"/>
  <c r="DF33" i="1"/>
  <c r="DF34" i="1"/>
  <c r="DF35" i="1"/>
  <c r="DF36" i="1"/>
  <c r="DF37" i="1"/>
  <c r="DF38" i="1"/>
  <c r="DF39" i="1"/>
  <c r="DF40" i="1"/>
  <c r="DF41" i="1"/>
  <c r="DF42" i="1"/>
  <c r="DF43" i="1"/>
  <c r="DF46" i="1"/>
  <c r="DF48" i="1"/>
  <c r="DF49" i="1"/>
  <c r="DF50" i="1"/>
  <c r="DF51" i="1"/>
  <c r="DF53" i="1"/>
  <c r="DF56" i="1"/>
  <c r="DF57" i="1"/>
  <c r="DF59" i="1"/>
  <c r="DF60" i="1"/>
  <c r="DF61" i="1"/>
  <c r="DF62" i="1"/>
  <c r="DF66" i="1"/>
  <c r="DF67" i="1"/>
  <c r="DF69" i="1"/>
  <c r="DF72" i="1"/>
  <c r="DF73" i="1"/>
  <c r="DF77" i="1"/>
  <c r="DF78" i="1"/>
  <c r="DF79" i="1"/>
  <c r="DF81" i="1"/>
  <c r="DF82" i="1"/>
  <c r="DF86" i="1"/>
  <c r="AC86" i="1" s="1"/>
  <c r="AD86" i="1" s="1"/>
  <c r="AE86" i="1" s="1"/>
  <c r="DF88" i="1"/>
  <c r="AC88" i="1" s="1"/>
  <c r="AD88" i="1" s="1"/>
  <c r="AE88" i="1" s="1"/>
  <c r="DF89" i="1"/>
  <c r="AC89" i="1" s="1"/>
  <c r="AD89" i="1" s="1"/>
  <c r="AE89" i="1" s="1"/>
  <c r="DF65" i="1" l="1"/>
  <c r="AC5" i="1"/>
  <c r="AC57" i="1"/>
  <c r="AC69" i="1"/>
  <c r="AB20" i="1"/>
  <c r="AB22" i="1"/>
  <c r="AB27" i="1"/>
  <c r="AB29" i="1"/>
  <c r="AB30" i="1"/>
  <c r="AB34" i="1"/>
  <c r="AB37" i="1"/>
  <c r="AB46" i="1"/>
  <c r="AB48" i="1"/>
  <c r="AB51" i="1"/>
  <c r="AB57" i="1"/>
  <c r="AB69" i="1"/>
  <c r="AB82" i="1"/>
  <c r="AB84" i="1"/>
  <c r="AB85" i="1"/>
  <c r="AA20" i="1"/>
  <c r="AA22" i="1"/>
  <c r="AA27" i="1"/>
  <c r="AA29" i="1"/>
  <c r="AA30" i="1"/>
  <c r="AA34" i="1"/>
  <c r="AA37" i="1"/>
  <c r="AA46" i="1"/>
  <c r="AA48" i="1"/>
  <c r="AA51" i="1"/>
  <c r="AA57" i="1"/>
  <c r="AA69" i="1"/>
  <c r="AA82" i="1"/>
  <c r="AA85" i="1"/>
  <c r="X9" i="1"/>
  <c r="X20" i="1"/>
  <c r="X22" i="1"/>
  <c r="X27" i="1"/>
  <c r="X29" i="1"/>
  <c r="X30" i="1"/>
  <c r="X34" i="1"/>
  <c r="X37" i="1"/>
  <c r="X46" i="1"/>
  <c r="X48" i="1"/>
  <c r="X51" i="1"/>
  <c r="X57" i="1"/>
  <c r="X69" i="1"/>
  <c r="X82" i="1"/>
  <c r="X84" i="1"/>
  <c r="X85" i="1"/>
  <c r="U5" i="1"/>
  <c r="U9" i="1"/>
  <c r="U20" i="1"/>
  <c r="U22" i="1"/>
  <c r="U27" i="1"/>
  <c r="U29" i="1"/>
  <c r="U30" i="1"/>
  <c r="U34" i="1"/>
  <c r="U37" i="1"/>
  <c r="U38" i="1"/>
  <c r="U39" i="1"/>
  <c r="U41" i="1"/>
  <c r="U42" i="1"/>
  <c r="U43" i="1"/>
  <c r="U44" i="1"/>
  <c r="U45" i="1"/>
  <c r="U46" i="1"/>
  <c r="U47" i="1"/>
  <c r="U48" i="1"/>
  <c r="U49" i="1"/>
  <c r="U50" i="1"/>
  <c r="U51" i="1"/>
  <c r="U52" i="1"/>
  <c r="U53" i="1"/>
  <c r="U55" i="1"/>
  <c r="U56" i="1"/>
  <c r="U57" i="1"/>
  <c r="U59" i="1"/>
  <c r="U60" i="1"/>
  <c r="U61" i="1"/>
  <c r="U62" i="1"/>
  <c r="U63" i="1"/>
  <c r="U64" i="1"/>
  <c r="U65" i="1"/>
  <c r="U66" i="1"/>
  <c r="U67" i="1"/>
  <c r="U68" i="1"/>
  <c r="U69" i="1"/>
  <c r="U70" i="1"/>
  <c r="U71" i="1"/>
  <c r="U72" i="1"/>
  <c r="U73" i="1"/>
  <c r="U74" i="1"/>
  <c r="U75" i="1"/>
  <c r="U76" i="1"/>
  <c r="U77" i="1"/>
  <c r="U78" i="1"/>
  <c r="U79" i="1"/>
  <c r="U80" i="1"/>
  <c r="U81" i="1"/>
  <c r="U82" i="1"/>
  <c r="U84" i="1"/>
  <c r="U85" i="1"/>
  <c r="W9" i="1"/>
  <c r="W20" i="1"/>
  <c r="W22" i="1"/>
  <c r="W27" i="1"/>
  <c r="W29" i="1"/>
  <c r="W30" i="1"/>
  <c r="W34" i="1"/>
  <c r="W37" i="1"/>
  <c r="W46" i="1"/>
  <c r="W48" i="1"/>
  <c r="W51" i="1"/>
  <c r="W57" i="1"/>
  <c r="W69" i="1"/>
  <c r="W82" i="1"/>
  <c r="W85" i="1"/>
  <c r="Q4" i="1"/>
  <c r="Q5" i="1"/>
  <c r="Q9" i="1"/>
  <c r="Q14" i="1"/>
  <c r="Q20" i="1"/>
  <c r="Q22" i="1"/>
  <c r="Q27" i="1"/>
  <c r="Q29" i="1"/>
  <c r="Q30" i="1"/>
  <c r="Q34" i="1"/>
  <c r="Q37" i="1"/>
  <c r="Q38" i="1"/>
  <c r="Q39" i="1"/>
  <c r="Q40" i="1"/>
  <c r="Q41" i="1"/>
  <c r="Q42" i="1"/>
  <c r="Q43" i="1"/>
  <c r="Q44" i="1"/>
  <c r="Q45" i="1"/>
  <c r="Q46" i="1"/>
  <c r="Q47" i="1"/>
  <c r="Q48" i="1"/>
  <c r="Q49" i="1"/>
  <c r="Q50" i="1"/>
  <c r="Q51" i="1"/>
  <c r="Q52" i="1"/>
  <c r="Q53" i="1"/>
  <c r="Q55" i="1"/>
  <c r="Q56" i="1"/>
  <c r="Q57" i="1"/>
  <c r="Q59" i="1"/>
  <c r="Q60" i="1"/>
  <c r="Q61" i="1"/>
  <c r="Q62" i="1"/>
  <c r="Q63" i="1"/>
  <c r="Q64" i="1"/>
  <c r="Q65" i="1"/>
  <c r="Q66" i="1"/>
  <c r="Q67" i="1"/>
  <c r="Q68" i="1"/>
  <c r="Q69" i="1"/>
  <c r="Q70" i="1"/>
  <c r="Q71" i="1"/>
  <c r="Q72" i="1"/>
  <c r="Q73" i="1"/>
  <c r="Q74" i="1"/>
  <c r="Q75" i="1"/>
  <c r="Q76" i="1"/>
  <c r="Q77" i="1"/>
  <c r="Q78" i="1"/>
  <c r="Q79" i="1"/>
  <c r="Q80" i="1"/>
  <c r="Q81" i="1"/>
  <c r="Q82" i="1"/>
  <c r="Q84" i="1"/>
  <c r="Q85" i="1"/>
  <c r="M14" i="1"/>
  <c r="N14" i="1" s="1"/>
  <c r="P14" i="1" s="1"/>
  <c r="M20" i="1"/>
  <c r="N20" i="1" s="1"/>
  <c r="O20" i="1" s="1"/>
  <c r="M22" i="1"/>
  <c r="N22" i="1" s="1"/>
  <c r="P22" i="1" s="1"/>
  <c r="M27" i="1"/>
  <c r="N27" i="1" s="1"/>
  <c r="P27" i="1" s="1"/>
  <c r="M29" i="1"/>
  <c r="N29" i="1" s="1"/>
  <c r="M30" i="1"/>
  <c r="N30" i="1" s="1"/>
  <c r="M34" i="1"/>
  <c r="N34" i="1" s="1"/>
  <c r="P34" i="1" s="1"/>
  <c r="M37" i="1"/>
  <c r="N37" i="1" s="1"/>
  <c r="P37" i="1" s="1"/>
  <c r="M38" i="1"/>
  <c r="N38" i="1" s="1"/>
  <c r="M39" i="1"/>
  <c r="N39" i="1" s="1"/>
  <c r="P39" i="1" s="1"/>
  <c r="M40" i="1"/>
  <c r="N40" i="1" s="1"/>
  <c r="P40" i="1" s="1"/>
  <c r="M41" i="1"/>
  <c r="N41" i="1" s="1"/>
  <c r="P41" i="1" s="1"/>
  <c r="M42" i="1"/>
  <c r="N42" i="1" s="1"/>
  <c r="M43" i="1"/>
  <c r="N43" i="1" s="1"/>
  <c r="M44" i="1"/>
  <c r="N44" i="1" s="1"/>
  <c r="O44" i="1" s="1"/>
  <c r="M45" i="1"/>
  <c r="N45" i="1" s="1"/>
  <c r="M46" i="1"/>
  <c r="N46" i="1" s="1"/>
  <c r="M47" i="1"/>
  <c r="N47" i="1" s="1"/>
  <c r="P47" i="1" s="1"/>
  <c r="M48" i="1"/>
  <c r="N48" i="1" s="1"/>
  <c r="M49" i="1"/>
  <c r="N49" i="1" s="1"/>
  <c r="P49" i="1" s="1"/>
  <c r="M50" i="1"/>
  <c r="N50" i="1" s="1"/>
  <c r="P50" i="1" s="1"/>
  <c r="M51" i="1"/>
  <c r="N51" i="1" s="1"/>
  <c r="M52" i="1"/>
  <c r="N52" i="1" s="1"/>
  <c r="P52" i="1" s="1"/>
  <c r="M53" i="1"/>
  <c r="N53" i="1" s="1"/>
  <c r="M55" i="1"/>
  <c r="N55" i="1" s="1"/>
  <c r="O55" i="1" s="1"/>
  <c r="M56" i="1"/>
  <c r="N56" i="1" s="1"/>
  <c r="P56" i="1" s="1"/>
  <c r="M57" i="1"/>
  <c r="N57" i="1" s="1"/>
  <c r="M59" i="1"/>
  <c r="N59" i="1" s="1"/>
  <c r="P59" i="1" s="1"/>
  <c r="M60" i="1"/>
  <c r="N60" i="1" s="1"/>
  <c r="P60" i="1" s="1"/>
  <c r="M61" i="1"/>
  <c r="N61" i="1" s="1"/>
  <c r="P61" i="1" s="1"/>
  <c r="M62" i="1"/>
  <c r="N62" i="1" s="1"/>
  <c r="M63" i="1"/>
  <c r="N63" i="1" s="1"/>
  <c r="M64" i="1"/>
  <c r="N64" i="1" s="1"/>
  <c r="P64" i="1" s="1"/>
  <c r="M65" i="1"/>
  <c r="N65" i="1" s="1"/>
  <c r="P65" i="1" s="1"/>
  <c r="M66" i="1"/>
  <c r="N66" i="1" s="1"/>
  <c r="P66" i="1" s="1"/>
  <c r="M67" i="1"/>
  <c r="N67" i="1" s="1"/>
  <c r="P67" i="1" s="1"/>
  <c r="M68" i="1"/>
  <c r="N68" i="1" s="1"/>
  <c r="P68" i="1" s="1"/>
  <c r="M69" i="1"/>
  <c r="N69" i="1" s="1"/>
  <c r="M70" i="1"/>
  <c r="N70" i="1" s="1"/>
  <c r="O70" i="1" s="1"/>
  <c r="M71" i="1"/>
  <c r="N71" i="1" s="1"/>
  <c r="P71" i="1" s="1"/>
  <c r="M72" i="1"/>
  <c r="N72" i="1" s="1"/>
  <c r="M73" i="1"/>
  <c r="N73" i="1" s="1"/>
  <c r="P73" i="1" s="1"/>
  <c r="M74" i="1"/>
  <c r="N74" i="1" s="1"/>
  <c r="M75" i="1"/>
  <c r="N75" i="1" s="1"/>
  <c r="P75" i="1" s="1"/>
  <c r="M76" i="1"/>
  <c r="N76" i="1" s="1"/>
  <c r="M77" i="1"/>
  <c r="N77" i="1" s="1"/>
  <c r="P77" i="1" s="1"/>
  <c r="M78" i="1"/>
  <c r="N78" i="1" s="1"/>
  <c r="M79" i="1"/>
  <c r="N79" i="1" s="1"/>
  <c r="P79" i="1" s="1"/>
  <c r="M80" i="1"/>
  <c r="N80" i="1" s="1"/>
  <c r="O80" i="1" s="1"/>
  <c r="M81" i="1"/>
  <c r="N81" i="1" s="1"/>
  <c r="P81" i="1" s="1"/>
  <c r="M82" i="1"/>
  <c r="N82" i="1" s="1"/>
  <c r="M84" i="1"/>
  <c r="N84" i="1" s="1"/>
  <c r="P84" i="1" s="1"/>
  <c r="M85" i="1"/>
  <c r="N85" i="1" s="1"/>
  <c r="M5" i="1"/>
  <c r="N5" i="1" s="1"/>
  <c r="P5" i="1" s="1"/>
  <c r="M9" i="1"/>
  <c r="N9" i="1" s="1"/>
  <c r="M4" i="1"/>
  <c r="N4" i="1" s="1"/>
  <c r="P4" i="1" s="1"/>
  <c r="R77" i="1" l="1"/>
  <c r="T77" i="1" s="1"/>
  <c r="R52" i="1"/>
  <c r="T52" i="1" s="1"/>
  <c r="R79" i="1"/>
  <c r="T79" i="1" s="1"/>
  <c r="R71" i="1"/>
  <c r="T71" i="1" s="1"/>
  <c r="R37" i="1"/>
  <c r="T37" i="1" s="1"/>
  <c r="R27" i="1"/>
  <c r="T27" i="1" s="1"/>
  <c r="R4" i="1"/>
  <c r="T4" i="1" s="1"/>
  <c r="R84" i="1"/>
  <c r="T84" i="1" s="1"/>
  <c r="R60" i="1"/>
  <c r="T60" i="1" s="1"/>
  <c r="R75" i="1"/>
  <c r="T75" i="1" s="1"/>
  <c r="R67" i="1"/>
  <c r="T67" i="1" s="1"/>
  <c r="R59" i="1"/>
  <c r="S59" i="1" s="1"/>
  <c r="R41" i="1"/>
  <c r="T41" i="1" s="1"/>
  <c r="R68" i="1"/>
  <c r="T68" i="1" s="1"/>
  <c r="R50" i="1"/>
  <c r="T50" i="1" s="1"/>
  <c r="R81" i="1"/>
  <c r="T81" i="1" s="1"/>
  <c r="R73" i="1"/>
  <c r="T73" i="1" s="1"/>
  <c r="R65" i="1"/>
  <c r="T65" i="1" s="1"/>
  <c r="R56" i="1"/>
  <c r="T56" i="1" s="1"/>
  <c r="R47" i="1"/>
  <c r="T47" i="1" s="1"/>
  <c r="R39" i="1"/>
  <c r="S39" i="1" s="1"/>
  <c r="R40" i="1"/>
  <c r="S40" i="1" s="1"/>
  <c r="R5" i="1"/>
  <c r="T5" i="1" s="1"/>
  <c r="V5" i="1" s="1"/>
  <c r="X5" i="1" s="1"/>
  <c r="Z5" i="1" s="1"/>
  <c r="AB5" i="1" s="1"/>
  <c r="AD5" i="1" s="1"/>
  <c r="R66" i="1"/>
  <c r="T66" i="1" s="1"/>
  <c r="R64" i="1"/>
  <c r="T64" i="1" s="1"/>
  <c r="P53" i="1"/>
  <c r="R53" i="1" s="1"/>
  <c r="T53" i="1" s="1"/>
  <c r="O53" i="1"/>
  <c r="O76" i="1"/>
  <c r="P76" i="1"/>
  <c r="R76" i="1" s="1"/>
  <c r="O42" i="1"/>
  <c r="P42" i="1"/>
  <c r="R42" i="1" s="1"/>
  <c r="S42" i="1" s="1"/>
  <c r="O63" i="1"/>
  <c r="P63" i="1"/>
  <c r="R63" i="1" s="1"/>
  <c r="T63" i="1" s="1"/>
  <c r="P80" i="1"/>
  <c r="R80" i="1" s="1"/>
  <c r="T80" i="1" s="1"/>
  <c r="R49" i="1"/>
  <c r="T49" i="1" s="1"/>
  <c r="O67" i="1"/>
  <c r="AD69" i="1"/>
  <c r="AE69" i="1" s="1"/>
  <c r="O41" i="1"/>
  <c r="O39" i="1"/>
  <c r="R34" i="1"/>
  <c r="S34" i="1" s="1"/>
  <c r="O34" i="1"/>
  <c r="AD57" i="1"/>
  <c r="AE57" i="1" s="1"/>
  <c r="R14" i="1"/>
  <c r="T14" i="1" s="1"/>
  <c r="O37" i="1"/>
  <c r="P20" i="1"/>
  <c r="R20" i="1" s="1"/>
  <c r="T20" i="1" s="1"/>
  <c r="P57" i="1"/>
  <c r="R57" i="1" s="1"/>
  <c r="O57" i="1"/>
  <c r="P70" i="1"/>
  <c r="R70" i="1" s="1"/>
  <c r="O40" i="1"/>
  <c r="O14" i="1"/>
  <c r="P45" i="1"/>
  <c r="R45" i="1" s="1"/>
  <c r="O45" i="1"/>
  <c r="P29" i="1"/>
  <c r="R29" i="1" s="1"/>
  <c r="O29" i="1"/>
  <c r="O78" i="1"/>
  <c r="P78" i="1"/>
  <c r="R78" i="1" s="1"/>
  <c r="O9" i="1"/>
  <c r="P9" i="1"/>
  <c r="R9" i="1" s="1"/>
  <c r="P82" i="1"/>
  <c r="R82" i="1" s="1"/>
  <c r="O82" i="1"/>
  <c r="P74" i="1"/>
  <c r="R74" i="1" s="1"/>
  <c r="O74" i="1"/>
  <c r="P48" i="1"/>
  <c r="R48" i="1" s="1"/>
  <c r="O48" i="1"/>
  <c r="O43" i="1"/>
  <c r="P43" i="1"/>
  <c r="R43" i="1" s="1"/>
  <c r="P44" i="1"/>
  <c r="R44" i="1" s="1"/>
  <c r="O72" i="1"/>
  <c r="P72" i="1"/>
  <c r="R72" i="1" s="1"/>
  <c r="O46" i="1"/>
  <c r="P46" i="1"/>
  <c r="R46" i="1" s="1"/>
  <c r="O38" i="1"/>
  <c r="P38" i="1"/>
  <c r="R38" i="1" s="1"/>
  <c r="O62" i="1"/>
  <c r="P62" i="1"/>
  <c r="R62" i="1" s="1"/>
  <c r="R22" i="1"/>
  <c r="O69" i="1"/>
  <c r="P69" i="1"/>
  <c r="R69" i="1" s="1"/>
  <c r="O85" i="1"/>
  <c r="P85" i="1"/>
  <c r="R85" i="1" s="1"/>
  <c r="R61" i="1"/>
  <c r="T61" i="1" s="1"/>
  <c r="O51" i="1"/>
  <c r="P51" i="1"/>
  <c r="R51" i="1" s="1"/>
  <c r="O30" i="1"/>
  <c r="P30" i="1"/>
  <c r="R30" i="1" s="1"/>
  <c r="O27" i="1"/>
  <c r="P55" i="1"/>
  <c r="R55" i="1" s="1"/>
  <c r="O65" i="1"/>
  <c r="O59" i="1"/>
  <c r="O22" i="1"/>
  <c r="O4" i="1"/>
  <c r="DF18" i="1"/>
  <c r="AC18" i="1" s="1"/>
  <c r="AC4" i="1"/>
  <c r="CS4" i="1"/>
  <c r="Y4" i="1" s="1"/>
  <c r="CF4" i="1"/>
  <c r="U4" i="1" s="1"/>
  <c r="DF3" i="1"/>
  <c r="AC3" i="1" s="1"/>
  <c r="CS3" i="1"/>
  <c r="Y3" i="1" s="1"/>
  <c r="CF3" i="1"/>
  <c r="U3" i="1" s="1"/>
  <c r="BS3" i="1"/>
  <c r="Q3" i="1" s="1"/>
  <c r="AT3" i="1"/>
  <c r="BF3" i="1" s="1"/>
  <c r="K73" i="1"/>
  <c r="K75" i="1"/>
  <c r="K77" i="1"/>
  <c r="K79" i="1"/>
  <c r="K81" i="1"/>
  <c r="K84" i="1"/>
  <c r="K71" i="1"/>
  <c r="K68" i="1"/>
  <c r="K66" i="1"/>
  <c r="K61" i="1"/>
  <c r="S61" i="1" s="1" a="1"/>
  <c r="S61" i="1" s="1"/>
  <c r="K60" i="1"/>
  <c r="K56" i="1"/>
  <c r="K52" i="1"/>
  <c r="K49" i="1"/>
  <c r="K47" i="1"/>
  <c r="K26" i="1"/>
  <c r="K50" i="1"/>
  <c r="AC82" i="1"/>
  <c r="AD82" i="1" s="1"/>
  <c r="AE82" i="1" s="1"/>
  <c r="AC85" i="1"/>
  <c r="AD85" i="1" s="1"/>
  <c r="AE85" i="1" s="1"/>
  <c r="DC80" i="1"/>
  <c r="DF80" i="1" s="1"/>
  <c r="DF74" i="1"/>
  <c r="DF55" i="1"/>
  <c r="AA78" i="3"/>
  <c r="AA79" i="3"/>
  <c r="AA80" i="3"/>
  <c r="AA81" i="3"/>
  <c r="AA82" i="3"/>
  <c r="AA83" i="3"/>
  <c r="AA84" i="3"/>
  <c r="AA85" i="3"/>
  <c r="AA86" i="3"/>
  <c r="AA87" i="3"/>
  <c r="AA88" i="3"/>
  <c r="AA89" i="3"/>
  <c r="AA90" i="3"/>
  <c r="AA91" i="3"/>
  <c r="AA92" i="3"/>
  <c r="AA93" i="3"/>
  <c r="AA94" i="3"/>
  <c r="AA95" i="3"/>
  <c r="AA96" i="3"/>
  <c r="AA97" i="3"/>
  <c r="AA98" i="3"/>
  <c r="AA99" i="3"/>
  <c r="AA100" i="3"/>
  <c r="AA101" i="3"/>
  <c r="AA102" i="3"/>
  <c r="AA103" i="3"/>
  <c r="AA104" i="3"/>
  <c r="AA105" i="3"/>
  <c r="AA106" i="3"/>
  <c r="AA107" i="3"/>
  <c r="AA108" i="3"/>
  <c r="AA109" i="3"/>
  <c r="AA110" i="3"/>
  <c r="AA111" i="3"/>
  <c r="AA112" i="3"/>
  <c r="AA113" i="3"/>
  <c r="AA114" i="3"/>
  <c r="AA115" i="3"/>
  <c r="AA116" i="3"/>
  <c r="AA117" i="3"/>
  <c r="AA118" i="3"/>
  <c r="AA119" i="3"/>
  <c r="AA120" i="3"/>
  <c r="AA121" i="3"/>
  <c r="AA122" i="3"/>
  <c r="AA123" i="3"/>
  <c r="AA124" i="3"/>
  <c r="AA125" i="3"/>
  <c r="AA126" i="3"/>
  <c r="AA127" i="3"/>
  <c r="AA128" i="3"/>
  <c r="AA129" i="3"/>
  <c r="AA130" i="3"/>
  <c r="AA131" i="3"/>
  <c r="AA132" i="3"/>
  <c r="AA133" i="3"/>
  <c r="AA134" i="3"/>
  <c r="AA135" i="3"/>
  <c r="AA136" i="3"/>
  <c r="AA137" i="3"/>
  <c r="AA138" i="3"/>
  <c r="AA139" i="3"/>
  <c r="AA140" i="3"/>
  <c r="AA141" i="3"/>
  <c r="AA142" i="3"/>
  <c r="AA143" i="3"/>
  <c r="AA144" i="3"/>
  <c r="AA145" i="3"/>
  <c r="AA146" i="3"/>
  <c r="AA147" i="3"/>
  <c r="AA148" i="3"/>
  <c r="AA149" i="3"/>
  <c r="AA150" i="3"/>
  <c r="AA151" i="3"/>
  <c r="AA152" i="3"/>
  <c r="AA153" i="3"/>
  <c r="AA154" i="3"/>
  <c r="AA155" i="3"/>
  <c r="AA156" i="3"/>
  <c r="AA157" i="3"/>
  <c r="AA158" i="3"/>
  <c r="AA159" i="3"/>
  <c r="AA160" i="3"/>
  <c r="AA161" i="3"/>
  <c r="AA162" i="3"/>
  <c r="AA163" i="3"/>
  <c r="AA164" i="3"/>
  <c r="AA165" i="3"/>
  <c r="AA166" i="3"/>
  <c r="AA167" i="3"/>
  <c r="AA168" i="3"/>
  <c r="AA169" i="3"/>
  <c r="AA170" i="3"/>
  <c r="AA171" i="3"/>
  <c r="AA172" i="3"/>
  <c r="AA173" i="3"/>
  <c r="AA174" i="3"/>
  <c r="AA175" i="3"/>
  <c r="AA176" i="3"/>
  <c r="AA177" i="3"/>
  <c r="AA178" i="3"/>
  <c r="AA179" i="3"/>
  <c r="AA180" i="3"/>
  <c r="AA181" i="3"/>
  <c r="AA182" i="3"/>
  <c r="AA183" i="3"/>
  <c r="AA185" i="3"/>
  <c r="AA186" i="3"/>
  <c r="AA187" i="3"/>
  <c r="AA188" i="3"/>
  <c r="AA189" i="3"/>
  <c r="Z76" i="3"/>
  <c r="Z77" i="3"/>
  <c r="Z78" i="3"/>
  <c r="Z79" i="3"/>
  <c r="Z80" i="3"/>
  <c r="Z81" i="3"/>
  <c r="Z82" i="3"/>
  <c r="Z83" i="3"/>
  <c r="Z84" i="3"/>
  <c r="Z85" i="3"/>
  <c r="AB85" i="3" s="1"/>
  <c r="AC85" i="3" s="1"/>
  <c r="Z86" i="3"/>
  <c r="Z87" i="3"/>
  <c r="Z88" i="3"/>
  <c r="AB88" i="3" s="1"/>
  <c r="AC88" i="3" s="1"/>
  <c r="Z89" i="3"/>
  <c r="Z90" i="3"/>
  <c r="Z91" i="3"/>
  <c r="Z92" i="3"/>
  <c r="Z93" i="3"/>
  <c r="AB93" i="3" s="1"/>
  <c r="AC93" i="3" s="1"/>
  <c r="Z94" i="3"/>
  <c r="AB94" i="3" s="1"/>
  <c r="AC94" i="3" s="1"/>
  <c r="Z95" i="3"/>
  <c r="Z96" i="3"/>
  <c r="AB96" i="3" s="1"/>
  <c r="AC96" i="3" s="1"/>
  <c r="Z97" i="3"/>
  <c r="Z98" i="3"/>
  <c r="Z99" i="3"/>
  <c r="Z100" i="3"/>
  <c r="Z101" i="3"/>
  <c r="AB101" i="3" s="1"/>
  <c r="AC101" i="3" s="1"/>
  <c r="Z102" i="3"/>
  <c r="AB102" i="3" s="1"/>
  <c r="AC102" i="3" s="1"/>
  <c r="Z103" i="3"/>
  <c r="Z104" i="3"/>
  <c r="AB104" i="3" s="1"/>
  <c r="AC104" i="3" s="1"/>
  <c r="Z105" i="3"/>
  <c r="Z106" i="3"/>
  <c r="Z107" i="3"/>
  <c r="Z108" i="3"/>
  <c r="Z109" i="3"/>
  <c r="AB109" i="3" s="1"/>
  <c r="AC109" i="3" s="1"/>
  <c r="Z110" i="3"/>
  <c r="AB110" i="3" s="1"/>
  <c r="AC110" i="3" s="1"/>
  <c r="Z111" i="3"/>
  <c r="Z112" i="3"/>
  <c r="AB112" i="3" s="1"/>
  <c r="AC112" i="3" s="1"/>
  <c r="Z113" i="3"/>
  <c r="Z114" i="3"/>
  <c r="Z115" i="3"/>
  <c r="Z116" i="3"/>
  <c r="Z117" i="3"/>
  <c r="AB117" i="3" s="1"/>
  <c r="AC117" i="3" s="1"/>
  <c r="Z118" i="3"/>
  <c r="AB118" i="3" s="1"/>
  <c r="AC118" i="3" s="1"/>
  <c r="Z119" i="3"/>
  <c r="Z120" i="3"/>
  <c r="AB120" i="3" s="1"/>
  <c r="AC120" i="3" s="1"/>
  <c r="Z121" i="3"/>
  <c r="Z122" i="3"/>
  <c r="Z123" i="3"/>
  <c r="Z124" i="3"/>
  <c r="Z125" i="3"/>
  <c r="AB125" i="3" s="1"/>
  <c r="AC125" i="3" s="1"/>
  <c r="Z126" i="3"/>
  <c r="AB126" i="3" s="1"/>
  <c r="AC126" i="3" s="1"/>
  <c r="Z127" i="3"/>
  <c r="Z128" i="3"/>
  <c r="AB128" i="3" s="1"/>
  <c r="AC128" i="3" s="1"/>
  <c r="Z129" i="3"/>
  <c r="Z130" i="3"/>
  <c r="Z131" i="3"/>
  <c r="Z132" i="3"/>
  <c r="Z133" i="3"/>
  <c r="AB133" i="3" s="1"/>
  <c r="AC133" i="3" s="1"/>
  <c r="Z134" i="3"/>
  <c r="AB134" i="3" s="1"/>
  <c r="AC134" i="3" s="1"/>
  <c r="Z135" i="3"/>
  <c r="Z136" i="3"/>
  <c r="AB136" i="3" s="1"/>
  <c r="AC136" i="3" s="1"/>
  <c r="Z137" i="3"/>
  <c r="Z138" i="3"/>
  <c r="Z139" i="3"/>
  <c r="Z140" i="3"/>
  <c r="Z141" i="3"/>
  <c r="AB141" i="3" s="1"/>
  <c r="AC141" i="3" s="1"/>
  <c r="Z142" i="3"/>
  <c r="AB142" i="3" s="1"/>
  <c r="AC142" i="3" s="1"/>
  <c r="Z143" i="3"/>
  <c r="Z144" i="3"/>
  <c r="AB144" i="3" s="1"/>
  <c r="AC144" i="3" s="1"/>
  <c r="Z145" i="3"/>
  <c r="Z146" i="3"/>
  <c r="Z147" i="3"/>
  <c r="Z148" i="3"/>
  <c r="Z149" i="3"/>
  <c r="AB149" i="3" s="1"/>
  <c r="AC149" i="3" s="1"/>
  <c r="Z150" i="3"/>
  <c r="AB150" i="3" s="1"/>
  <c r="AC150" i="3" s="1"/>
  <c r="Z151" i="3"/>
  <c r="Z152" i="3"/>
  <c r="AB152" i="3" s="1"/>
  <c r="AC152" i="3" s="1"/>
  <c r="Z153" i="3"/>
  <c r="Z154" i="3"/>
  <c r="Z155" i="3"/>
  <c r="Z156" i="3"/>
  <c r="Z157" i="3"/>
  <c r="AB157" i="3" s="1"/>
  <c r="AC157" i="3" s="1"/>
  <c r="Z158" i="3"/>
  <c r="AB158" i="3" s="1"/>
  <c r="AC158" i="3" s="1"/>
  <c r="Z159" i="3"/>
  <c r="Z160" i="3"/>
  <c r="AB160" i="3" s="1"/>
  <c r="AC160" i="3" s="1"/>
  <c r="Z161" i="3"/>
  <c r="Z162" i="3"/>
  <c r="Z163" i="3"/>
  <c r="Z164" i="3"/>
  <c r="Z165" i="3"/>
  <c r="AB165" i="3" s="1"/>
  <c r="AC165" i="3" s="1"/>
  <c r="Z166" i="3"/>
  <c r="AB166" i="3" s="1"/>
  <c r="AC166" i="3" s="1"/>
  <c r="Z167" i="3"/>
  <c r="Z168" i="3"/>
  <c r="AB168" i="3" s="1"/>
  <c r="AC168" i="3" s="1"/>
  <c r="Z169" i="3"/>
  <c r="Z170" i="3"/>
  <c r="Z171" i="3"/>
  <c r="Z172" i="3"/>
  <c r="Z173" i="3"/>
  <c r="AB173" i="3" s="1"/>
  <c r="AC173" i="3" s="1"/>
  <c r="Z174" i="3"/>
  <c r="AB174" i="3" s="1"/>
  <c r="AC174" i="3" s="1"/>
  <c r="Z175" i="3"/>
  <c r="Z176" i="3"/>
  <c r="Z177" i="3"/>
  <c r="Z178" i="3"/>
  <c r="Z179" i="3"/>
  <c r="Z180" i="3"/>
  <c r="Z181" i="3"/>
  <c r="AB181" i="3" s="1"/>
  <c r="AC181" i="3" s="1"/>
  <c r="Z182" i="3"/>
  <c r="AB182" i="3" s="1"/>
  <c r="AC182" i="3" s="1"/>
  <c r="Z183" i="3"/>
  <c r="Z185" i="3"/>
  <c r="AB185" i="3" s="1"/>
  <c r="AC185" i="3" s="1"/>
  <c r="Z186" i="3"/>
  <c r="Z187" i="3"/>
  <c r="Z188" i="3"/>
  <c r="Z189" i="3"/>
  <c r="AB86" i="3" l="1"/>
  <c r="AC86" i="3" s="1"/>
  <c r="AB78" i="3"/>
  <c r="AC78" i="3" s="1"/>
  <c r="AB80" i="3"/>
  <c r="AC80" i="3" s="1"/>
  <c r="AB171" i="3"/>
  <c r="AC171" i="3" s="1"/>
  <c r="AB163" i="3"/>
  <c r="AC163" i="3" s="1"/>
  <c r="AB155" i="3"/>
  <c r="AC155" i="3" s="1"/>
  <c r="AB147" i="3"/>
  <c r="AC147" i="3" s="1"/>
  <c r="AB139" i="3"/>
  <c r="AC139" i="3" s="1"/>
  <c r="AB131" i="3"/>
  <c r="AC131" i="3" s="1"/>
  <c r="AB123" i="3"/>
  <c r="AC123" i="3" s="1"/>
  <c r="AB115" i="3"/>
  <c r="AC115" i="3" s="1"/>
  <c r="AB107" i="3"/>
  <c r="AC107" i="3" s="1"/>
  <c r="AB99" i="3"/>
  <c r="AC99" i="3" s="1"/>
  <c r="AB91" i="3"/>
  <c r="AC91" i="3" s="1"/>
  <c r="AB83" i="3"/>
  <c r="AC83" i="3" s="1"/>
  <c r="T59" i="1"/>
  <c r="AB177" i="3"/>
  <c r="AC177" i="3" s="1"/>
  <c r="AB169" i="3"/>
  <c r="AC169" i="3" s="1"/>
  <c r="AB161" i="3"/>
  <c r="AC161" i="3" s="1"/>
  <c r="AB153" i="3"/>
  <c r="AC153" i="3" s="1"/>
  <c r="AB145" i="3"/>
  <c r="AC145" i="3" s="1"/>
  <c r="AB137" i="3"/>
  <c r="AC137" i="3" s="1"/>
  <c r="AB129" i="3"/>
  <c r="AC129" i="3" s="1"/>
  <c r="AB121" i="3"/>
  <c r="AC121" i="3" s="1"/>
  <c r="AB113" i="3"/>
  <c r="AC113" i="3" s="1"/>
  <c r="AB105" i="3"/>
  <c r="AC105" i="3" s="1"/>
  <c r="AB97" i="3"/>
  <c r="AC97" i="3" s="1"/>
  <c r="AB89" i="3"/>
  <c r="AC89" i="3" s="1"/>
  <c r="AB81" i="3"/>
  <c r="AC81" i="3" s="1"/>
  <c r="S37" i="1"/>
  <c r="S27" i="1"/>
  <c r="AB178" i="3"/>
  <c r="AC178" i="3" s="1"/>
  <c r="AB154" i="3"/>
  <c r="AC154" i="3" s="1"/>
  <c r="AB130" i="3"/>
  <c r="AC130" i="3" s="1"/>
  <c r="AB114" i="3"/>
  <c r="AC114" i="3" s="1"/>
  <c r="AB90" i="3"/>
  <c r="AC90" i="3" s="1"/>
  <c r="AB187" i="3"/>
  <c r="AC187" i="3" s="1"/>
  <c r="AB162" i="3"/>
  <c r="AC162" i="3" s="1"/>
  <c r="AB146" i="3"/>
  <c r="AC146" i="3" s="1"/>
  <c r="AB122" i="3"/>
  <c r="AC122" i="3" s="1"/>
  <c r="AB106" i="3"/>
  <c r="AC106" i="3" s="1"/>
  <c r="AB82" i="3"/>
  <c r="AC82" i="3" s="1"/>
  <c r="AB170" i="3"/>
  <c r="AC170" i="3" s="1"/>
  <c r="AB138" i="3"/>
  <c r="AC138" i="3" s="1"/>
  <c r="AB98" i="3"/>
  <c r="AC98" i="3" s="1"/>
  <c r="AB180" i="3"/>
  <c r="AC180" i="3" s="1"/>
  <c r="AB172" i="3"/>
  <c r="AC172" i="3" s="1"/>
  <c r="AB164" i="3"/>
  <c r="AC164" i="3" s="1"/>
  <c r="AB156" i="3"/>
  <c r="AC156" i="3" s="1"/>
  <c r="AB148" i="3"/>
  <c r="AC148" i="3" s="1"/>
  <c r="AB140" i="3"/>
  <c r="AC140" i="3" s="1"/>
  <c r="AB132" i="3"/>
  <c r="AC132" i="3" s="1"/>
  <c r="AB124" i="3"/>
  <c r="AC124" i="3" s="1"/>
  <c r="AB116" i="3"/>
  <c r="AC116" i="3" s="1"/>
  <c r="AB108" i="3"/>
  <c r="AC108" i="3" s="1"/>
  <c r="AB100" i="3"/>
  <c r="AC100" i="3" s="1"/>
  <c r="AB92" i="3"/>
  <c r="AC92" i="3" s="1"/>
  <c r="AB84" i="3"/>
  <c r="AC84" i="3" s="1"/>
  <c r="AB183" i="3"/>
  <c r="AC183" i="3" s="1"/>
  <c r="AB167" i="3"/>
  <c r="AC167" i="3" s="1"/>
  <c r="AB159" i="3"/>
  <c r="AC159" i="3" s="1"/>
  <c r="AB151" i="3"/>
  <c r="AC151" i="3" s="1"/>
  <c r="AB143" i="3"/>
  <c r="AC143" i="3" s="1"/>
  <c r="AB135" i="3"/>
  <c r="AC135" i="3" s="1"/>
  <c r="AB127" i="3"/>
  <c r="AC127" i="3" s="1"/>
  <c r="AB119" i="3"/>
  <c r="AC119" i="3" s="1"/>
  <c r="AB111" i="3"/>
  <c r="AC111" i="3" s="1"/>
  <c r="AB103" i="3"/>
  <c r="AC103" i="3" s="1"/>
  <c r="AB95" i="3"/>
  <c r="AC95" i="3" s="1"/>
  <c r="AB87" i="3"/>
  <c r="AC87" i="3" s="1"/>
  <c r="AB79" i="3"/>
  <c r="AC79" i="3" s="1"/>
  <c r="AB186" i="3"/>
  <c r="AC186" i="3" s="1"/>
  <c r="AB188" i="3"/>
  <c r="AC188" i="3" s="1"/>
  <c r="AB179" i="3"/>
  <c r="AC179" i="3" s="1"/>
  <c r="S65" i="1"/>
  <c r="S67" i="1"/>
  <c r="S80" i="1"/>
  <c r="S53" i="1"/>
  <c r="S4" i="1"/>
  <c r="S41" i="1"/>
  <c r="AB189" i="3"/>
  <c r="AC189" i="3" s="1"/>
  <c r="AB176" i="3"/>
  <c r="AC176" i="3" s="1"/>
  <c r="AB175" i="3"/>
  <c r="T42" i="1"/>
  <c r="T39" i="1"/>
  <c r="T40" i="1"/>
  <c r="S14" i="1"/>
  <c r="S20" i="1"/>
  <c r="S63" i="1"/>
  <c r="T34" i="1"/>
  <c r="V4" i="1"/>
  <c r="X4" i="1" s="1"/>
  <c r="Z4" i="1" s="1"/>
  <c r="M3" i="1"/>
  <c r="N3" i="1" s="1"/>
  <c r="O3" i="1" s="1"/>
  <c r="S68" i="1"/>
  <c r="O68" i="1"/>
  <c r="S43" i="1"/>
  <c r="T43" i="1"/>
  <c r="O71" i="1"/>
  <c r="S71" i="1"/>
  <c r="T45" i="1"/>
  <c r="S45" i="1"/>
  <c r="AA84" i="1"/>
  <c r="S84" i="1"/>
  <c r="O84" i="1"/>
  <c r="W84" i="1"/>
  <c r="T55" i="1"/>
  <c r="S55" i="1"/>
  <c r="S56" i="1"/>
  <c r="O56" i="1"/>
  <c r="S81" i="1"/>
  <c r="O81" i="1"/>
  <c r="T22" i="1"/>
  <c r="S22" i="1"/>
  <c r="T82" i="1"/>
  <c r="S82" i="1"/>
  <c r="S47" i="1"/>
  <c r="O47" i="1"/>
  <c r="T38" i="1"/>
  <c r="S38" i="1"/>
  <c r="S49" i="1"/>
  <c r="O49" i="1"/>
  <c r="T74" i="1"/>
  <c r="S74" i="1"/>
  <c r="T57" i="1"/>
  <c r="S57" i="1"/>
  <c r="O52" i="1"/>
  <c r="S52" i="1"/>
  <c r="S76" i="1"/>
  <c r="T76" i="1"/>
  <c r="T46" i="1"/>
  <c r="S46" i="1"/>
  <c r="T78" i="1"/>
  <c r="S78" i="1"/>
  <c r="S60" i="1"/>
  <c r="O60" i="1"/>
  <c r="S79" i="1"/>
  <c r="O79" i="1"/>
  <c r="T51" i="1"/>
  <c r="S51" i="1"/>
  <c r="T72" i="1"/>
  <c r="S72" i="1"/>
  <c r="O77" i="1"/>
  <c r="S77" i="1"/>
  <c r="O61" i="1"/>
  <c r="AA5" i="1"/>
  <c r="AE5" i="1"/>
  <c r="S5" i="1"/>
  <c r="O5" i="1"/>
  <c r="W5" i="1"/>
  <c r="S29" i="1"/>
  <c r="T29" i="1"/>
  <c r="S50" i="1"/>
  <c r="O50" i="1"/>
  <c r="O64" i="1"/>
  <c r="S64" i="1"/>
  <c r="S75" i="1"/>
  <c r="O75" i="1"/>
  <c r="T30" i="1"/>
  <c r="S30" i="1"/>
  <c r="S62" i="1"/>
  <c r="T62" i="1"/>
  <c r="T9" i="1"/>
  <c r="S9" i="1"/>
  <c r="S66" i="1"/>
  <c r="O66" i="1"/>
  <c r="S73" i="1"/>
  <c r="O73" i="1"/>
  <c r="S85" i="1"/>
  <c r="T85" i="1"/>
  <c r="T69" i="1"/>
  <c r="S69" i="1"/>
  <c r="S44" i="1"/>
  <c r="T44" i="1"/>
  <c r="T48" i="1"/>
  <c r="S48" i="1"/>
  <c r="T70" i="1"/>
  <c r="S70" i="1"/>
  <c r="CW304" i="4"/>
  <c r="M310" i="4"/>
  <c r="N310" i="4" s="1"/>
  <c r="O310" i="4" s="1"/>
  <c r="P310" i="4"/>
  <c r="S310" i="4"/>
  <c r="CL310" i="4"/>
  <c r="V310" i="4" s="1"/>
  <c r="CY310" i="4"/>
  <c r="Z310" i="4" s="1"/>
  <c r="M311" i="4"/>
  <c r="N311" i="4" s="1"/>
  <c r="O311" i="4" s="1"/>
  <c r="P311" i="4"/>
  <c r="S311" i="4"/>
  <c r="CD311" i="4"/>
  <c r="CJ311" i="4"/>
  <c r="CY311" i="4"/>
  <c r="Z311" i="4" s="1"/>
  <c r="M312" i="4"/>
  <c r="N312" i="4" s="1"/>
  <c r="O312" i="4" s="1"/>
  <c r="P312" i="4"/>
  <c r="S312" i="4"/>
  <c r="CL312" i="4"/>
  <c r="V312" i="4" s="1"/>
  <c r="CY312" i="4"/>
  <c r="Z312" i="4" s="1"/>
  <c r="M313" i="4"/>
  <c r="N313" i="4" s="1"/>
  <c r="O313" i="4" s="1"/>
  <c r="P313" i="4"/>
  <c r="S313" i="4"/>
  <c r="CI313" i="4"/>
  <c r="CL313" i="4" s="1"/>
  <c r="V313" i="4" s="1"/>
  <c r="CY313" i="4"/>
  <c r="Z313" i="4" s="1"/>
  <c r="M314" i="4"/>
  <c r="N314" i="4" s="1"/>
  <c r="O314" i="4" s="1"/>
  <c r="P314" i="4"/>
  <c r="S314" i="4"/>
  <c r="CL314" i="4"/>
  <c r="V314" i="4" s="1"/>
  <c r="CY314" i="4"/>
  <c r="Z314" i="4" s="1"/>
  <c r="AY309" i="4"/>
  <c r="M309" i="4" s="1"/>
  <c r="N309" i="4" s="1"/>
  <c r="O309" i="4" s="1"/>
  <c r="BE309" i="4"/>
  <c r="BG309" i="4"/>
  <c r="BH309" i="4"/>
  <c r="BI309" i="4"/>
  <c r="BJ309" i="4"/>
  <c r="BK309" i="4"/>
  <c r="BM309" i="4"/>
  <c r="BN309" i="4"/>
  <c r="BO309" i="4"/>
  <c r="BP309" i="4"/>
  <c r="BQ309" i="4"/>
  <c r="BR309" i="4"/>
  <c r="BT309" i="4"/>
  <c r="BU309" i="4"/>
  <c r="BV309" i="4"/>
  <c r="BX309" i="4"/>
  <c r="BZ309" i="4"/>
  <c r="CA309" i="4"/>
  <c r="CB309" i="4"/>
  <c r="CC309" i="4"/>
  <c r="CD309" i="4"/>
  <c r="CF309" i="4"/>
  <c r="CG309" i="4"/>
  <c r="CH309" i="4"/>
  <c r="CI309" i="4"/>
  <c r="CJ309" i="4"/>
  <c r="CK309" i="4"/>
  <c r="CM309" i="4"/>
  <c r="CN309" i="4"/>
  <c r="CO309" i="4"/>
  <c r="CP309" i="4"/>
  <c r="CQ309" i="4"/>
  <c r="CR309" i="4"/>
  <c r="AY307" i="4"/>
  <c r="M307" i="4" s="1"/>
  <c r="N307" i="4" s="1"/>
  <c r="O307" i="4" s="1"/>
  <c r="BL307" i="4"/>
  <c r="P307" i="4" s="1"/>
  <c r="BY307" i="4"/>
  <c r="S307" i="4" s="1"/>
  <c r="CL307" i="4"/>
  <c r="V307" i="4" s="1"/>
  <c r="CY307" i="4"/>
  <c r="Z307" i="4" s="1"/>
  <c r="AY308" i="4"/>
  <c r="M308" i="4" s="1"/>
  <c r="N308" i="4" s="1"/>
  <c r="O308" i="4" s="1"/>
  <c r="BL308" i="4"/>
  <c r="P308" i="4" s="1"/>
  <c r="BY308" i="4"/>
  <c r="S308" i="4" s="1"/>
  <c r="CL308" i="4"/>
  <c r="V308" i="4" s="1"/>
  <c r="CY308" i="4"/>
  <c r="Z308" i="4" s="1"/>
  <c r="BB305" i="4"/>
  <c r="M305" i="4" s="1"/>
  <c r="N305" i="4" s="1"/>
  <c r="BH305" i="4"/>
  <c r="BN305" i="4"/>
  <c r="CB305" i="4"/>
  <c r="U305" i="4" s="1"/>
  <c r="CC305" i="4"/>
  <c r="CE305" i="4"/>
  <c r="CN305" i="4"/>
  <c r="CP305" i="4"/>
  <c r="CQ305" i="4"/>
  <c r="CS305" i="4"/>
  <c r="CT305" i="4"/>
  <c r="CU305" i="4"/>
  <c r="BB306" i="4"/>
  <c r="M306" i="4" s="1"/>
  <c r="N306" i="4" s="1"/>
  <c r="BO306" i="4"/>
  <c r="Q306" i="4" s="1"/>
  <c r="CB306" i="4"/>
  <c r="U306" i="4" s="1"/>
  <c r="CO306" i="4"/>
  <c r="Y306" i="4" s="1"/>
  <c r="DB306" i="4"/>
  <c r="AC306" i="4" s="1"/>
  <c r="BB304" i="4"/>
  <c r="M304" i="4" s="1"/>
  <c r="N304" i="4" s="1"/>
  <c r="BH304" i="4"/>
  <c r="BK304" i="4"/>
  <c r="BN304" i="4"/>
  <c r="CB304" i="4"/>
  <c r="U304" i="4" s="1"/>
  <c r="CC304" i="4"/>
  <c r="CD304" i="4"/>
  <c r="CF304" i="4"/>
  <c r="CH304" i="4"/>
  <c r="CI304" i="4"/>
  <c r="CJ304" i="4"/>
  <c r="CK304" i="4"/>
  <c r="CL304" i="4"/>
  <c r="CM304" i="4"/>
  <c r="CQ304" i="4"/>
  <c r="CR304" i="4"/>
  <c r="CT304" i="4"/>
  <c r="CU304" i="4"/>
  <c r="CV304" i="4"/>
  <c r="BB303" i="4"/>
  <c r="M303" i="4" s="1"/>
  <c r="N303" i="4" s="1"/>
  <c r="BK303" i="4"/>
  <c r="BO303" i="4" s="1"/>
  <c r="Q303" i="4" s="1"/>
  <c r="CB303" i="4"/>
  <c r="U303" i="4" s="1"/>
  <c r="CO303" i="4"/>
  <c r="Y303" i="4" s="1"/>
  <c r="DB303" i="4"/>
  <c r="AC303" i="4" s="1"/>
  <c r="AP302" i="4"/>
  <c r="AS302" i="4"/>
  <c r="AW302" i="4"/>
  <c r="BF302" i="4"/>
  <c r="BI302" i="4"/>
  <c r="BJ302" i="4"/>
  <c r="BN302" i="4"/>
  <c r="CB302" i="4"/>
  <c r="U302" i="4" s="1"/>
  <c r="CF302" i="4"/>
  <c r="CO302" i="4" s="1"/>
  <c r="Y302" i="4" s="1"/>
  <c r="DB302" i="4"/>
  <c r="AC302" i="4" s="1"/>
  <c r="BB298" i="4"/>
  <c r="M298" i="4" s="1"/>
  <c r="N298" i="4" s="1"/>
  <c r="BO298" i="4"/>
  <c r="Q298" i="4" s="1"/>
  <c r="CB298" i="4"/>
  <c r="U298" i="4" s="1"/>
  <c r="CO298" i="4"/>
  <c r="Y298" i="4" s="1"/>
  <c r="DB298" i="4"/>
  <c r="AC298" i="4" s="1"/>
  <c r="BB299" i="4"/>
  <c r="M299" i="4" s="1"/>
  <c r="N299" i="4" s="1"/>
  <c r="BO299" i="4"/>
  <c r="Q299" i="4" s="1"/>
  <c r="CB299" i="4"/>
  <c r="U299" i="4" s="1"/>
  <c r="CO299" i="4"/>
  <c r="Y299" i="4" s="1"/>
  <c r="DB299" i="4"/>
  <c r="AC299" i="4" s="1"/>
  <c r="BA300" i="4"/>
  <c r="BB300" i="4" s="1"/>
  <c r="M300" i="4" s="1"/>
  <c r="N300" i="4" s="1"/>
  <c r="BO300" i="4"/>
  <c r="Q300" i="4" s="1"/>
  <c r="CB300" i="4"/>
  <c r="U300" i="4" s="1"/>
  <c r="CO300" i="4"/>
  <c r="Y300" i="4" s="1"/>
  <c r="DB300" i="4"/>
  <c r="AC300" i="4" s="1"/>
  <c r="M301" i="4"/>
  <c r="N301" i="4" s="1"/>
  <c r="O301" i="4" s="1"/>
  <c r="BO301" i="4"/>
  <c r="Q301" i="4" s="1"/>
  <c r="CA301" i="4"/>
  <c r="CB301" i="4" s="1"/>
  <c r="U301" i="4" s="1"/>
  <c r="CO301" i="4"/>
  <c r="Y301" i="4" s="1"/>
  <c r="DB301" i="4"/>
  <c r="AC301" i="4" s="1"/>
  <c r="BB287" i="4"/>
  <c r="M287" i="4" s="1"/>
  <c r="N287" i="4" s="1"/>
  <c r="BF287" i="4"/>
  <c r="BO287" i="4" s="1"/>
  <c r="Q287" i="4" s="1"/>
  <c r="CB287" i="4"/>
  <c r="U287" i="4" s="1"/>
  <c r="CO287" i="4"/>
  <c r="Y287" i="4" s="1"/>
  <c r="DB287" i="4"/>
  <c r="AC287" i="4" s="1"/>
  <c r="M288" i="4"/>
  <c r="N288" i="4" s="1"/>
  <c r="P288" i="4" s="1"/>
  <c r="BO288" i="4"/>
  <c r="Q288" i="4" s="1"/>
  <c r="CB288" i="4"/>
  <c r="U288" i="4" s="1"/>
  <c r="CO288" i="4"/>
  <c r="Y288" i="4" s="1"/>
  <c r="DB288" i="4"/>
  <c r="AC288" i="4" s="1"/>
  <c r="AY289" i="4"/>
  <c r="BB289" i="4" s="1"/>
  <c r="M289" i="4" s="1"/>
  <c r="N289" i="4" s="1"/>
  <c r="P289" i="4" s="1"/>
  <c r="BO289" i="4"/>
  <c r="Q289" i="4" s="1"/>
  <c r="CB289" i="4"/>
  <c r="U289" i="4" s="1"/>
  <c r="CO289" i="4"/>
  <c r="Y289" i="4" s="1"/>
  <c r="DB289" i="4"/>
  <c r="AC289" i="4" s="1"/>
  <c r="BB290" i="4"/>
  <c r="M290" i="4" s="1"/>
  <c r="N290" i="4" s="1"/>
  <c r="BF290" i="4"/>
  <c r="BN290" i="4"/>
  <c r="CB290" i="4"/>
  <c r="U290" i="4" s="1"/>
  <c r="CO290" i="4"/>
  <c r="Y290" i="4" s="1"/>
  <c r="DB290" i="4"/>
  <c r="AC290" i="4" s="1"/>
  <c r="BB291" i="4"/>
  <c r="M291" i="4" s="1"/>
  <c r="N291" i="4" s="1"/>
  <c r="BO291" i="4"/>
  <c r="Q291" i="4" s="1"/>
  <c r="CB291" i="4"/>
  <c r="U291" i="4" s="1"/>
  <c r="CO291" i="4"/>
  <c r="Y291" i="4" s="1"/>
  <c r="DB291" i="4"/>
  <c r="AC291" i="4" s="1"/>
  <c r="BB292" i="4"/>
  <c r="M292" i="4" s="1"/>
  <c r="N292" i="4" s="1"/>
  <c r="BO292" i="4"/>
  <c r="Q292" i="4" s="1"/>
  <c r="CB292" i="4"/>
  <c r="U292" i="4" s="1"/>
  <c r="CO292" i="4"/>
  <c r="Y292" i="4" s="1"/>
  <c r="DB292" i="4"/>
  <c r="AC292" i="4" s="1"/>
  <c r="BB293" i="4"/>
  <c r="M293" i="4" s="1"/>
  <c r="N293" i="4" s="1"/>
  <c r="BO293" i="4"/>
  <c r="Q293" i="4" s="1"/>
  <c r="CB293" i="4"/>
  <c r="U293" i="4" s="1"/>
  <c r="CO293" i="4"/>
  <c r="Y293" i="4" s="1"/>
  <c r="DB293" i="4"/>
  <c r="AC293" i="4" s="1"/>
  <c r="BB294" i="4"/>
  <c r="M294" i="4" s="1"/>
  <c r="N294" i="4" s="1"/>
  <c r="P294" i="4" s="1"/>
  <c r="BN294" i="4"/>
  <c r="BO294" i="4" s="1"/>
  <c r="Q294" i="4" s="1"/>
  <c r="BX294" i="4"/>
  <c r="CB294" i="4" s="1"/>
  <c r="U294" i="4" s="1"/>
  <c r="CO294" i="4"/>
  <c r="Y294" i="4" s="1"/>
  <c r="DB294" i="4"/>
  <c r="AC294" i="4" s="1"/>
  <c r="BB295" i="4"/>
  <c r="M295" i="4" s="1"/>
  <c r="N295" i="4" s="1"/>
  <c r="BC295" i="4"/>
  <c r="BO295" i="4" s="1"/>
  <c r="Q295" i="4" s="1"/>
  <c r="CB295" i="4"/>
  <c r="U295" i="4" s="1"/>
  <c r="CO295" i="4"/>
  <c r="Y295" i="4" s="1"/>
  <c r="DB295" i="4"/>
  <c r="AC295" i="4" s="1"/>
  <c r="BB296" i="4"/>
  <c r="M296" i="4" s="1"/>
  <c r="N296" i="4" s="1"/>
  <c r="BO296" i="4"/>
  <c r="Q296" i="4" s="1"/>
  <c r="CB296" i="4"/>
  <c r="U296" i="4" s="1"/>
  <c r="CO296" i="4"/>
  <c r="Y296" i="4" s="1"/>
  <c r="DB296" i="4"/>
  <c r="AC296" i="4" s="1"/>
  <c r="BB297" i="4"/>
  <c r="M297" i="4" s="1"/>
  <c r="N297" i="4" s="1"/>
  <c r="P297" i="4" s="1"/>
  <c r="BO297" i="4"/>
  <c r="Q297" i="4" s="1"/>
  <c r="CB297" i="4"/>
  <c r="U297" i="4" s="1"/>
  <c r="CO297" i="4"/>
  <c r="Y297" i="4" s="1"/>
  <c r="DB297" i="4"/>
  <c r="AC297" i="4" s="1"/>
  <c r="Q313" i="4" l="1"/>
  <c r="R313" i="4" s="1"/>
  <c r="T313" i="4" s="1"/>
  <c r="U313" i="4" s="1"/>
  <c r="W313" i="4" s="1"/>
  <c r="Q314" i="4"/>
  <c r="R314" i="4" s="1"/>
  <c r="T314" i="4" s="1"/>
  <c r="U314" i="4" s="1"/>
  <c r="W314" i="4" s="1"/>
  <c r="X314" i="4" s="1"/>
  <c r="Q312" i="4"/>
  <c r="R312" i="4" s="1"/>
  <c r="T312" i="4" s="1"/>
  <c r="U312" i="4" s="1"/>
  <c r="W312" i="4" s="1"/>
  <c r="X312" i="4" s="1"/>
  <c r="CL311" i="4"/>
  <c r="V311" i="4" s="1"/>
  <c r="W4" i="1"/>
  <c r="P3" i="1"/>
  <c r="R3" i="1" s="1"/>
  <c r="S3" i="1" s="1"/>
  <c r="AA4" i="1"/>
  <c r="AB4" i="1"/>
  <c r="AD4" i="1" s="1"/>
  <c r="AE4" i="1" s="1"/>
  <c r="BL309" i="4"/>
  <c r="P309" i="4" s="1"/>
  <c r="Q309" i="4" s="1"/>
  <c r="R309" i="4" s="1"/>
  <c r="CY309" i="4"/>
  <c r="Z309" i="4" s="1"/>
  <c r="BY309" i="4"/>
  <c r="S309" i="4" s="1"/>
  <c r="Q307" i="4"/>
  <c r="R307" i="4" s="1"/>
  <c r="T307" i="4" s="1"/>
  <c r="U307" i="4" s="1"/>
  <c r="W307" i="4" s="1"/>
  <c r="CL309" i="4"/>
  <c r="V309" i="4" s="1"/>
  <c r="Q308" i="4"/>
  <c r="R308" i="4" s="1"/>
  <c r="T308" i="4" s="1"/>
  <c r="U308" i="4" s="1"/>
  <c r="W308" i="4" s="1"/>
  <c r="X308" i="4" s="1"/>
  <c r="CO305" i="4"/>
  <c r="Y305" i="4" s="1"/>
  <c r="BO305" i="4"/>
  <c r="Q305" i="4" s="1"/>
  <c r="DB305" i="4"/>
  <c r="AC305" i="4" s="1"/>
  <c r="P305" i="4"/>
  <c r="O305" i="4"/>
  <c r="O306" i="4"/>
  <c r="P306" i="4"/>
  <c r="R306" i="4" s="1"/>
  <c r="BO304" i="4"/>
  <c r="Q304" i="4" s="1"/>
  <c r="CO304" i="4"/>
  <c r="Y304" i="4" s="1"/>
  <c r="DB304" i="4"/>
  <c r="AC304" i="4" s="1"/>
  <c r="O304" i="4"/>
  <c r="P304" i="4"/>
  <c r="R289" i="4"/>
  <c r="T289" i="4" s="1"/>
  <c r="V289" i="4" s="1"/>
  <c r="X289" i="4" s="1"/>
  <c r="Z289" i="4" s="1"/>
  <c r="AB289" i="4" s="1"/>
  <c r="AD289" i="4" s="1"/>
  <c r="BB302" i="4"/>
  <c r="M302" i="4" s="1"/>
  <c r="N302" i="4" s="1"/>
  <c r="P302" i="4" s="1"/>
  <c r="O303" i="4"/>
  <c r="P303" i="4"/>
  <c r="R303" i="4" s="1"/>
  <c r="BO302" i="4"/>
  <c r="Q302" i="4" s="1"/>
  <c r="P301" i="4"/>
  <c r="R301" i="4" s="1"/>
  <c r="S301" i="4" s="1"/>
  <c r="BO290" i="4"/>
  <c r="Q290" i="4" s="1"/>
  <c r="O300" i="4"/>
  <c r="P300" i="4"/>
  <c r="R300" i="4" s="1"/>
  <c r="P298" i="4"/>
  <c r="R298" i="4" s="1"/>
  <c r="O298" i="4"/>
  <c r="O299" i="4"/>
  <c r="P299" i="4"/>
  <c r="R299" i="4" s="1"/>
  <c r="R294" i="4"/>
  <c r="T294" i="4" s="1"/>
  <c r="V294" i="4" s="1"/>
  <c r="X294" i="4" s="1"/>
  <c r="Z294" i="4" s="1"/>
  <c r="AB294" i="4" s="1"/>
  <c r="AD294" i="4" s="1"/>
  <c r="R288" i="4"/>
  <c r="T288" i="4" s="1"/>
  <c r="V288" i="4" s="1"/>
  <c r="X288" i="4" s="1"/>
  <c r="Z288" i="4" s="1"/>
  <c r="AB288" i="4" s="1"/>
  <c r="AD288" i="4" s="1"/>
  <c r="O292" i="4"/>
  <c r="P292" i="4"/>
  <c r="R292" i="4" s="1"/>
  <c r="T292" i="4" s="1"/>
  <c r="V292" i="4" s="1"/>
  <c r="X292" i="4" s="1"/>
  <c r="Z292" i="4" s="1"/>
  <c r="P296" i="4"/>
  <c r="R296" i="4" s="1"/>
  <c r="T296" i="4" s="1"/>
  <c r="V296" i="4" s="1"/>
  <c r="X296" i="4" s="1"/>
  <c r="Z296" i="4" s="1"/>
  <c r="O296" i="4"/>
  <c r="R297" i="4"/>
  <c r="T297" i="4" s="1"/>
  <c r="V297" i="4" s="1"/>
  <c r="X297" i="4" s="1"/>
  <c r="Z297" i="4" s="1"/>
  <c r="AB297" i="4" s="1"/>
  <c r="AD297" i="4" s="1"/>
  <c r="P295" i="4"/>
  <c r="R295" i="4" s="1"/>
  <c r="O295" i="4"/>
  <c r="P293" i="4"/>
  <c r="R293" i="4" s="1"/>
  <c r="O293" i="4"/>
  <c r="O291" i="4"/>
  <c r="P291" i="4"/>
  <c r="R291" i="4" s="1"/>
  <c r="T291" i="4" s="1"/>
  <c r="V291" i="4" s="1"/>
  <c r="X291" i="4" s="1"/>
  <c r="Z291" i="4" s="1"/>
  <c r="P290" i="4"/>
  <c r="O290" i="4"/>
  <c r="O287" i="4"/>
  <c r="P287" i="4"/>
  <c r="R287" i="4" s="1"/>
  <c r="Y314" i="4" l="1"/>
  <c r="AA314" i="4" s="1"/>
  <c r="AB314" i="4" s="1"/>
  <c r="Y312" i="4"/>
  <c r="AA312" i="4" s="1"/>
  <c r="AB312" i="4" s="1"/>
  <c r="T3" i="1"/>
  <c r="V3" i="1" s="1"/>
  <c r="W3" i="1" s="1"/>
  <c r="X313" i="4"/>
  <c r="Y313" i="4"/>
  <c r="AA313" i="4" s="1"/>
  <c r="AB313" i="4" s="1"/>
  <c r="T309" i="4"/>
  <c r="U309" i="4" s="1"/>
  <c r="W309" i="4" s="1"/>
  <c r="X309" i="4" s="1"/>
  <c r="Y308" i="4"/>
  <c r="AA308" i="4" s="1"/>
  <c r="AB308" i="4" s="1"/>
  <c r="R305" i="4"/>
  <c r="S305" i="4" s="1"/>
  <c r="X307" i="4"/>
  <c r="Y307" i="4"/>
  <c r="AA307" i="4" s="1"/>
  <c r="AB307" i="4" s="1"/>
  <c r="R304" i="4"/>
  <c r="S304" i="4" s="1"/>
  <c r="O302" i="4"/>
  <c r="T306" i="4"/>
  <c r="V306" i="4" s="1"/>
  <c r="S306" i="4"/>
  <c r="R302" i="4"/>
  <c r="S302" i="4" s="1"/>
  <c r="S303" i="4"/>
  <c r="T303" i="4"/>
  <c r="V303" i="4" s="1"/>
  <c r="T301" i="4"/>
  <c r="V301" i="4" s="1"/>
  <c r="X301" i="4" s="1"/>
  <c r="Z301" i="4" s="1"/>
  <c r="R290" i="4"/>
  <c r="S290" i="4" s="1"/>
  <c r="S300" i="4"/>
  <c r="T300" i="4"/>
  <c r="V300" i="4" s="1"/>
  <c r="S299" i="4"/>
  <c r="T299" i="4"/>
  <c r="V299" i="4" s="1"/>
  <c r="S298" i="4"/>
  <c r="T298" i="4"/>
  <c r="V298" i="4" s="1"/>
  <c r="S287" i="4"/>
  <c r="T287" i="4"/>
  <c r="V287" i="4" s="1"/>
  <c r="T295" i="4"/>
  <c r="V295" i="4" s="1"/>
  <c r="S295" i="4"/>
  <c r="AA296" i="4"/>
  <c r="AB296" i="4"/>
  <c r="AD296" i="4" s="1"/>
  <c r="AB292" i="4"/>
  <c r="AD292" i="4" s="1"/>
  <c r="AA292" i="4"/>
  <c r="S293" i="4"/>
  <c r="T293" i="4"/>
  <c r="V293" i="4" s="1"/>
  <c r="AB291" i="4"/>
  <c r="AD291" i="4" s="1"/>
  <c r="AA291" i="4"/>
  <c r="Z21" i="3"/>
  <c r="Z36" i="3"/>
  <c r="Z70" i="3"/>
  <c r="Y21" i="3"/>
  <c r="Y36" i="3"/>
  <c r="Y70" i="3"/>
  <c r="DG36" i="2"/>
  <c r="AD36" i="2" s="1"/>
  <c r="Z36" i="2"/>
  <c r="V36" i="2"/>
  <c r="R36" i="2"/>
  <c r="N36" i="2"/>
  <c r="O36" i="2" s="1"/>
  <c r="AF28" i="2"/>
  <c r="AF31" i="2"/>
  <c r="AC28" i="2"/>
  <c r="AC31" i="2"/>
  <c r="Y309" i="4" l="1"/>
  <c r="AA309" i="4" s="1"/>
  <c r="AB309" i="4" s="1"/>
  <c r="X3" i="1"/>
  <c r="Z3" i="1" s="1"/>
  <c r="AA3" i="1" s="1"/>
  <c r="T305" i="4"/>
  <c r="V305" i="4" s="1"/>
  <c r="X305" i="4" s="1"/>
  <c r="Z305" i="4" s="1"/>
  <c r="T304" i="4"/>
  <c r="V304" i="4" s="1"/>
  <c r="W304" i="4" s="1"/>
  <c r="T302" i="4"/>
  <c r="V302" i="4" s="1"/>
  <c r="X302" i="4" s="1"/>
  <c r="Z302" i="4" s="1"/>
  <c r="W306" i="4"/>
  <c r="X306" i="4"/>
  <c r="Z306" i="4" s="1"/>
  <c r="W301" i="4"/>
  <c r="W303" i="4"/>
  <c r="X303" i="4"/>
  <c r="Z303" i="4" s="1"/>
  <c r="T290" i="4"/>
  <c r="V290" i="4" s="1"/>
  <c r="W290" i="4" s="1"/>
  <c r="W300" i="4"/>
  <c r="X300" i="4"/>
  <c r="Z300" i="4" s="1"/>
  <c r="AA301" i="4"/>
  <c r="AB301" i="4"/>
  <c r="AD301" i="4" s="1"/>
  <c r="X298" i="4"/>
  <c r="Z298" i="4" s="1"/>
  <c r="W298" i="4"/>
  <c r="W299" i="4"/>
  <c r="X299" i="4"/>
  <c r="Z299" i="4" s="1"/>
  <c r="X295" i="4"/>
  <c r="Z295" i="4" s="1"/>
  <c r="W295" i="4"/>
  <c r="X293" i="4"/>
  <c r="Z293" i="4" s="1"/>
  <c r="W293" i="4"/>
  <c r="X287" i="4"/>
  <c r="Z287" i="4" s="1"/>
  <c r="W287" i="4"/>
  <c r="P36" i="2"/>
  <c r="Q36" i="2"/>
  <c r="S36" i="2" s="1"/>
  <c r="AB3" i="1" l="1"/>
  <c r="AD3" i="1" s="1"/>
  <c r="W305" i="4"/>
  <c r="X304" i="4"/>
  <c r="Z304" i="4" s="1"/>
  <c r="AE304" i="4" s="1"/>
  <c r="X290" i="4"/>
  <c r="Z290" i="4" s="1"/>
  <c r="AA290" i="4" s="1"/>
  <c r="W302" i="4"/>
  <c r="AE305" i="4"/>
  <c r="AA305" i="4"/>
  <c r="AB305" i="4"/>
  <c r="AD305" i="4" s="1"/>
  <c r="AB306" i="4"/>
  <c r="AD306" i="4" s="1"/>
  <c r="AA306" i="4"/>
  <c r="AE306" i="4"/>
  <c r="AB304" i="4"/>
  <c r="AD304" i="4" s="1"/>
  <c r="AE303" i="4"/>
  <c r="AA303" i="4"/>
  <c r="AB303" i="4"/>
  <c r="AD303" i="4" s="1"/>
  <c r="AA302" i="4"/>
  <c r="AB302" i="4"/>
  <c r="AD302" i="4" s="1"/>
  <c r="AE302" i="4"/>
  <c r="AA299" i="4"/>
  <c r="AB299" i="4"/>
  <c r="AD299" i="4" s="1"/>
  <c r="AB298" i="4"/>
  <c r="AD298" i="4" s="1"/>
  <c r="AA298" i="4"/>
  <c r="AA300" i="4"/>
  <c r="AB300" i="4"/>
  <c r="AD300" i="4" s="1"/>
  <c r="AA287" i="4"/>
  <c r="AB287" i="4"/>
  <c r="AD287" i="4" s="1"/>
  <c r="AB295" i="4"/>
  <c r="AD295" i="4" s="1"/>
  <c r="AA295" i="4"/>
  <c r="AB293" i="4"/>
  <c r="AD293" i="4" s="1"/>
  <c r="AA293" i="4"/>
  <c r="U36" i="2"/>
  <c r="W36" i="2" s="1"/>
  <c r="T36" i="2"/>
  <c r="AE3" i="1" l="1"/>
  <c r="AF3" i="1"/>
  <c r="AH3" i="1" s="1"/>
  <c r="AI3" i="1" s="1"/>
  <c r="AB290" i="4"/>
  <c r="AD290" i="4" s="1"/>
  <c r="AA304" i="4"/>
  <c r="Y36" i="2"/>
  <c r="AA36" i="2" s="1"/>
  <c r="X36" i="2"/>
  <c r="CQ28" i="1"/>
  <c r="CJ30" i="2"/>
  <c r="DD6" i="3"/>
  <c r="AA6" i="3" s="1"/>
  <c r="DD5" i="3"/>
  <c r="AA5" i="3" s="1"/>
  <c r="DD7" i="3"/>
  <c r="AA7" i="3" s="1"/>
  <c r="DD8" i="3"/>
  <c r="AA8" i="3" s="1"/>
  <c r="DD9" i="3"/>
  <c r="AA9" i="3" s="1"/>
  <c r="DD10" i="3"/>
  <c r="AA10" i="3" s="1"/>
  <c r="DD11" i="3"/>
  <c r="AA11" i="3" s="1"/>
  <c r="DD12" i="3"/>
  <c r="AA12" i="3" s="1"/>
  <c r="AA13" i="3"/>
  <c r="DD14" i="3"/>
  <c r="AA14" i="3" s="1"/>
  <c r="DD15" i="3"/>
  <c r="AA15" i="3" s="1"/>
  <c r="DD16" i="3"/>
  <c r="AA16" i="3" s="1"/>
  <c r="DD17" i="3"/>
  <c r="AA17" i="3" s="1"/>
  <c r="AA18" i="3"/>
  <c r="DD19" i="3"/>
  <c r="AA19" i="3" s="1"/>
  <c r="DD20" i="3"/>
  <c r="AA20" i="3" s="1"/>
  <c r="DD21" i="3"/>
  <c r="AA21" i="3" s="1"/>
  <c r="AB21" i="3" s="1"/>
  <c r="AC21" i="3" s="1"/>
  <c r="DD22" i="3"/>
  <c r="AA22" i="3" s="1"/>
  <c r="DD23" i="3"/>
  <c r="AA23" i="3" s="1"/>
  <c r="DD24" i="3"/>
  <c r="AA24" i="3" s="1"/>
  <c r="DD25" i="3"/>
  <c r="AA25" i="3" s="1"/>
  <c r="DD26" i="3"/>
  <c r="AA26" i="3" s="1"/>
  <c r="DD27" i="3"/>
  <c r="AA27" i="3" s="1"/>
  <c r="DD28" i="3"/>
  <c r="AA28" i="3" s="1"/>
  <c r="DD29" i="3"/>
  <c r="AA29" i="3" s="1"/>
  <c r="DD30" i="3"/>
  <c r="AA30" i="3" s="1"/>
  <c r="DD31" i="3"/>
  <c r="AA31" i="3" s="1"/>
  <c r="DD32" i="3"/>
  <c r="AA32" i="3" s="1"/>
  <c r="DD33" i="3"/>
  <c r="AA33" i="3" s="1"/>
  <c r="DD34" i="3"/>
  <c r="AA34" i="3" s="1"/>
  <c r="DD35" i="3"/>
  <c r="AA35" i="3" s="1"/>
  <c r="DD36" i="3"/>
  <c r="AA36" i="3" s="1"/>
  <c r="AB36" i="3" s="1"/>
  <c r="AA37" i="3"/>
  <c r="DD38" i="3"/>
  <c r="AA38" i="3" s="1"/>
  <c r="DD39" i="3"/>
  <c r="AA39" i="3" s="1"/>
  <c r="DD40" i="3"/>
  <c r="AA40" i="3" s="1"/>
  <c r="DD41" i="3"/>
  <c r="AA41" i="3" s="1"/>
  <c r="DD42" i="3"/>
  <c r="AA42" i="3" s="1"/>
  <c r="DD43" i="3"/>
  <c r="AA43" i="3" s="1"/>
  <c r="DD44" i="3"/>
  <c r="AA44" i="3" s="1"/>
  <c r="DD45" i="3"/>
  <c r="AA45" i="3" s="1"/>
  <c r="DD47" i="3"/>
  <c r="AA47" i="3" s="1"/>
  <c r="DD48" i="3"/>
  <c r="AA48" i="3" s="1"/>
  <c r="DD49" i="3"/>
  <c r="AA49" i="3" s="1"/>
  <c r="DD50" i="3"/>
  <c r="AA50" i="3" s="1"/>
  <c r="DD51" i="3"/>
  <c r="AA51" i="3" s="1"/>
  <c r="DD52" i="3"/>
  <c r="AA52" i="3" s="1"/>
  <c r="DD53" i="3"/>
  <c r="AA53" i="3" s="1"/>
  <c r="DD54" i="3"/>
  <c r="AA54" i="3" s="1"/>
  <c r="DD55" i="3"/>
  <c r="AA55" i="3" s="1"/>
  <c r="DD56" i="3"/>
  <c r="AA56" i="3" s="1"/>
  <c r="DD57" i="3"/>
  <c r="AA57" i="3" s="1"/>
  <c r="DD58" i="3"/>
  <c r="AA58" i="3" s="1"/>
  <c r="DD59" i="3"/>
  <c r="AA59" i="3" s="1"/>
  <c r="DD60" i="3"/>
  <c r="AA60" i="3" s="1"/>
  <c r="DD61" i="3"/>
  <c r="AA61" i="3" s="1"/>
  <c r="DD62" i="3"/>
  <c r="AA62" i="3" s="1"/>
  <c r="DD63" i="3"/>
  <c r="AA63" i="3" s="1"/>
  <c r="DD64" i="3"/>
  <c r="AA64" i="3" s="1"/>
  <c r="DD65" i="3"/>
  <c r="AA65" i="3" s="1"/>
  <c r="DD66" i="3"/>
  <c r="AA66" i="3" s="1"/>
  <c r="DD67" i="3"/>
  <c r="AA67" i="3" s="1"/>
  <c r="DD68" i="3"/>
  <c r="AA68" i="3" s="1"/>
  <c r="DD69" i="3"/>
  <c r="AA69" i="3" s="1"/>
  <c r="DD70" i="3"/>
  <c r="AA70" i="3" s="1"/>
  <c r="AB70" i="3" s="1"/>
  <c r="DD71" i="3"/>
  <c r="AA71" i="3" s="1"/>
  <c r="DD73" i="3"/>
  <c r="AA73" i="3" s="1"/>
  <c r="DD74" i="3"/>
  <c r="AA74" i="3" s="1"/>
  <c r="DD75" i="3"/>
  <c r="AA75" i="3" s="1"/>
  <c r="DD76" i="3"/>
  <c r="AA76" i="3" s="1"/>
  <c r="AB76" i="3" s="1"/>
  <c r="AC76" i="3" s="1"/>
  <c r="DD77" i="3"/>
  <c r="AA77" i="3" s="1"/>
  <c r="AB77" i="3" s="1"/>
  <c r="AC77" i="3" s="1"/>
  <c r="DD3" i="3"/>
  <c r="DG16" i="2"/>
  <c r="AD16" i="2" s="1"/>
  <c r="DG17" i="2"/>
  <c r="AD17" i="2" s="1"/>
  <c r="DG18" i="2"/>
  <c r="AD18" i="2" s="1"/>
  <c r="DG19" i="2"/>
  <c r="AD19" i="2" s="1"/>
  <c r="DG20" i="2"/>
  <c r="AD20" i="2" s="1"/>
  <c r="DG21" i="2"/>
  <c r="AD21" i="2" s="1"/>
  <c r="DG22" i="2"/>
  <c r="AD22" i="2" s="1"/>
  <c r="DG23" i="2"/>
  <c r="AD23" i="2" s="1"/>
  <c r="DG24" i="2"/>
  <c r="AD24" i="2" s="1"/>
  <c r="DG25" i="2"/>
  <c r="AD25" i="2" s="1"/>
  <c r="DG26" i="2"/>
  <c r="AD26" i="2" s="1"/>
  <c r="DG27" i="2"/>
  <c r="AD27" i="2" s="1"/>
  <c r="DG28" i="2"/>
  <c r="AD28" i="2" s="1"/>
  <c r="AE28" i="2" s="1"/>
  <c r="AD29" i="2"/>
  <c r="DG31" i="2"/>
  <c r="AD31" i="2" s="1"/>
  <c r="AE31" i="2" s="1"/>
  <c r="AD32" i="2"/>
  <c r="AD33" i="2"/>
  <c r="DG34" i="2"/>
  <c r="AD34" i="2" s="1"/>
  <c r="DG35" i="2"/>
  <c r="AD35" i="2" s="1"/>
  <c r="DG4" i="2"/>
  <c r="AD4" i="2" s="1"/>
  <c r="AD6" i="2"/>
  <c r="DG7" i="2"/>
  <c r="AD7" i="2" s="1"/>
  <c r="DG10" i="2"/>
  <c r="AD10" i="2" s="1"/>
  <c r="AD11" i="2"/>
  <c r="DG12" i="2"/>
  <c r="AD12" i="2" s="1"/>
  <c r="DG13" i="2"/>
  <c r="AD13" i="2" s="1"/>
  <c r="DG14" i="2"/>
  <c r="AD14" i="2" s="1"/>
  <c r="DG15" i="2"/>
  <c r="AD15" i="2" s="1"/>
  <c r="AC66" i="1"/>
  <c r="AC67" i="1"/>
  <c r="AC70" i="1"/>
  <c r="AC71" i="1"/>
  <c r="AC72" i="1"/>
  <c r="AC73" i="1"/>
  <c r="AC74" i="1"/>
  <c r="AC75" i="1"/>
  <c r="AC76" i="1"/>
  <c r="AC77" i="1"/>
  <c r="AC78" i="1"/>
  <c r="AC79" i="1"/>
  <c r="AC80" i="1"/>
  <c r="AC81" i="1"/>
  <c r="AC21" i="1"/>
  <c r="AC22" i="1"/>
  <c r="AD22" i="1" s="1"/>
  <c r="AE22" i="1" s="1"/>
  <c r="AC23" i="1"/>
  <c r="AC24" i="1"/>
  <c r="AC25" i="1"/>
  <c r="AC26" i="1"/>
  <c r="AC27" i="1"/>
  <c r="AD27" i="1" s="1"/>
  <c r="AE27" i="1" s="1"/>
  <c r="AC28" i="1"/>
  <c r="AC29" i="1"/>
  <c r="AD29" i="1" s="1"/>
  <c r="AE29" i="1" s="1"/>
  <c r="AC30" i="1"/>
  <c r="AD30" i="1" s="1"/>
  <c r="AE30" i="1" s="1"/>
  <c r="AC31" i="1"/>
  <c r="AC32" i="1"/>
  <c r="AC33" i="1"/>
  <c r="AC34" i="1"/>
  <c r="AD34" i="1" s="1"/>
  <c r="AE34" i="1" s="1"/>
  <c r="AC35" i="1"/>
  <c r="AC36" i="1"/>
  <c r="AC37" i="1"/>
  <c r="AD37" i="1" s="1"/>
  <c r="AE37" i="1" s="1"/>
  <c r="AC38" i="1"/>
  <c r="AC39" i="1"/>
  <c r="AC40" i="1"/>
  <c r="AC41" i="1"/>
  <c r="AC42" i="1"/>
  <c r="AC43" i="1"/>
  <c r="AC45" i="1"/>
  <c r="AC46" i="1"/>
  <c r="AD46" i="1" s="1"/>
  <c r="AE46" i="1" s="1"/>
  <c r="AC47" i="1"/>
  <c r="AC48" i="1"/>
  <c r="AD48" i="1" s="1"/>
  <c r="AE48" i="1" s="1"/>
  <c r="AC49" i="1"/>
  <c r="AC50" i="1"/>
  <c r="AC51" i="1"/>
  <c r="AD51" i="1" s="1"/>
  <c r="AE51" i="1" s="1"/>
  <c r="AC52" i="1"/>
  <c r="AC53" i="1"/>
  <c r="AC55" i="1"/>
  <c r="AC56" i="1"/>
  <c r="AC59" i="1"/>
  <c r="AC60" i="1"/>
  <c r="AC61" i="1"/>
  <c r="AC62" i="1"/>
  <c r="AC63" i="1"/>
  <c r="AC64" i="1"/>
  <c r="AC65" i="1"/>
  <c r="AC19" i="1"/>
  <c r="AC20" i="1"/>
  <c r="AD20" i="1" s="1"/>
  <c r="AE20" i="1" s="1"/>
  <c r="AC16" i="1"/>
  <c r="AC17" i="1"/>
  <c r="AC7" i="1"/>
  <c r="AC8" i="1"/>
  <c r="AC9" i="1"/>
  <c r="AC10" i="1"/>
  <c r="AC12" i="1"/>
  <c r="AC13" i="1"/>
  <c r="AC14" i="1"/>
  <c r="AC15" i="1"/>
  <c r="AC6" i="1"/>
  <c r="Y61" i="1"/>
  <c r="Y62" i="1"/>
  <c r="Y63" i="1"/>
  <c r="Y64" i="1"/>
  <c r="Y65" i="1"/>
  <c r="Y66" i="1"/>
  <c r="Y67" i="1"/>
  <c r="Y68" i="1"/>
  <c r="Y70" i="1"/>
  <c r="Y71" i="1"/>
  <c r="Y72" i="1"/>
  <c r="Y73" i="1"/>
  <c r="Y74" i="1"/>
  <c r="Y75" i="1"/>
  <c r="Y76" i="1"/>
  <c r="Y77" i="1"/>
  <c r="Y78" i="1"/>
  <c r="Y79" i="1"/>
  <c r="Y80" i="1"/>
  <c r="Y81" i="1"/>
  <c r="Y53" i="1"/>
  <c r="Y55" i="1"/>
  <c r="Y56" i="1"/>
  <c r="Y59" i="1"/>
  <c r="Y60" i="1"/>
  <c r="CS27" i="1"/>
  <c r="CV68" i="1"/>
  <c r="AA72" i="3"/>
  <c r="DG8" i="2"/>
  <c r="AD8" i="2" s="1"/>
  <c r="W51" i="3"/>
  <c r="W52" i="3"/>
  <c r="W53" i="3"/>
  <c r="W54" i="3"/>
  <c r="W55" i="3"/>
  <c r="W56" i="3"/>
  <c r="W57" i="3"/>
  <c r="W58" i="3"/>
  <c r="W59" i="3"/>
  <c r="W60" i="3"/>
  <c r="W61" i="3"/>
  <c r="W62" i="3"/>
  <c r="W63" i="3"/>
  <c r="W64" i="3"/>
  <c r="W65" i="3"/>
  <c r="W66" i="3"/>
  <c r="W67" i="3"/>
  <c r="W68" i="3"/>
  <c r="W69" i="3"/>
  <c r="W71" i="3"/>
  <c r="T48" i="3"/>
  <c r="T49" i="3"/>
  <c r="T50" i="3"/>
  <c r="T51" i="3"/>
  <c r="T52" i="3"/>
  <c r="T53" i="3"/>
  <c r="T54" i="3"/>
  <c r="T55" i="3"/>
  <c r="T56" i="3"/>
  <c r="T57" i="3"/>
  <c r="T58" i="3"/>
  <c r="T59" i="3"/>
  <c r="T60" i="3"/>
  <c r="T61" i="3"/>
  <c r="T62" i="3"/>
  <c r="T63" i="3"/>
  <c r="T64" i="3"/>
  <c r="T65" i="3"/>
  <c r="T66" i="3"/>
  <c r="T67" i="3"/>
  <c r="T68" i="3"/>
  <c r="T69" i="3"/>
  <c r="T71" i="3"/>
  <c r="Q48" i="3"/>
  <c r="Q49" i="3"/>
  <c r="Q50" i="3"/>
  <c r="Q51" i="3"/>
  <c r="Q52" i="3"/>
  <c r="Q53" i="3"/>
  <c r="Q54" i="3"/>
  <c r="Q55" i="3"/>
  <c r="Q56" i="3"/>
  <c r="Q57" i="3"/>
  <c r="Q58" i="3"/>
  <c r="Q59" i="3"/>
  <c r="Q60" i="3"/>
  <c r="Q61" i="3"/>
  <c r="Q62" i="3"/>
  <c r="Q63" i="3"/>
  <c r="Q64" i="3"/>
  <c r="Q65" i="3"/>
  <c r="Q66" i="3"/>
  <c r="Q67" i="3"/>
  <c r="Q68" i="3"/>
  <c r="Q69" i="3"/>
  <c r="Q71" i="3"/>
  <c r="N71" i="3"/>
  <c r="O71" i="3" s="1"/>
  <c r="P71" i="3" s="1"/>
  <c r="N48" i="3"/>
  <c r="O48" i="3" s="1"/>
  <c r="P48" i="3" s="1"/>
  <c r="N49" i="3"/>
  <c r="O49" i="3" s="1"/>
  <c r="P49" i="3" s="1"/>
  <c r="N50" i="3"/>
  <c r="O50" i="3" s="1"/>
  <c r="P50" i="3" s="1"/>
  <c r="N51" i="3"/>
  <c r="O51" i="3" s="1"/>
  <c r="P51" i="3" s="1"/>
  <c r="N52" i="3"/>
  <c r="O52" i="3" s="1"/>
  <c r="P52" i="3" s="1"/>
  <c r="N53" i="3"/>
  <c r="O53" i="3" s="1"/>
  <c r="P53" i="3" s="1"/>
  <c r="R55" i="3" s="1"/>
  <c r="S55" i="3" s="1"/>
  <c r="N54" i="3"/>
  <c r="O54" i="3" s="1"/>
  <c r="P54" i="3" s="1"/>
  <c r="R56" i="3" s="1"/>
  <c r="S56" i="3" s="1"/>
  <c r="N55" i="3"/>
  <c r="O55" i="3" s="1"/>
  <c r="P55" i="3" s="1"/>
  <c r="R57" i="3" s="1"/>
  <c r="S57" i="3" s="1"/>
  <c r="N56" i="3"/>
  <c r="O56" i="3" s="1"/>
  <c r="P56" i="3" s="1"/>
  <c r="N57" i="3"/>
  <c r="O57" i="3" s="1"/>
  <c r="P57" i="3" s="1"/>
  <c r="N58" i="3"/>
  <c r="O58" i="3" s="1"/>
  <c r="P58" i="3" s="1"/>
  <c r="N59" i="3"/>
  <c r="O59" i="3" s="1"/>
  <c r="P59" i="3" s="1"/>
  <c r="N60" i="3"/>
  <c r="O60" i="3" s="1"/>
  <c r="P60" i="3" s="1"/>
  <c r="N61" i="3"/>
  <c r="O61" i="3" s="1"/>
  <c r="P61" i="3" s="1"/>
  <c r="R63" i="3" s="1"/>
  <c r="S63" i="3" s="1"/>
  <c r="N62" i="3"/>
  <c r="O62" i="3" s="1"/>
  <c r="P62" i="3" s="1"/>
  <c r="R64" i="3" s="1"/>
  <c r="S64" i="3" s="1"/>
  <c r="N63" i="3"/>
  <c r="O63" i="3" s="1"/>
  <c r="P63" i="3" s="1"/>
  <c r="R65" i="3" s="1"/>
  <c r="S65" i="3" s="1"/>
  <c r="N64" i="3"/>
  <c r="O64" i="3" s="1"/>
  <c r="P64" i="3" s="1"/>
  <c r="R66" i="3" s="1"/>
  <c r="S66" i="3" s="1"/>
  <c r="N65" i="3"/>
  <c r="O65" i="3" s="1"/>
  <c r="P65" i="3" s="1"/>
  <c r="N66" i="3"/>
  <c r="O66" i="3" s="1"/>
  <c r="P66" i="3" s="1"/>
  <c r="N67" i="3"/>
  <c r="O67" i="3" s="1"/>
  <c r="P67" i="3" s="1"/>
  <c r="N68" i="3"/>
  <c r="O68" i="3" s="1"/>
  <c r="P68" i="3" s="1"/>
  <c r="N69" i="3"/>
  <c r="O69" i="3" s="1"/>
  <c r="P69" i="3" s="1"/>
  <c r="DF44" i="1" l="1"/>
  <c r="AC44" i="1" s="1"/>
  <c r="DF68" i="1"/>
  <c r="AC68" i="1" s="1"/>
  <c r="U64" i="3"/>
  <c r="V64" i="3" s="1"/>
  <c r="X64" i="3" s="1"/>
  <c r="Z64" i="3" s="1"/>
  <c r="AB64" i="3" s="1"/>
  <c r="AC64" i="3" s="1"/>
  <c r="U56" i="3"/>
  <c r="V56" i="3" s="1"/>
  <c r="X56" i="3" s="1"/>
  <c r="Z56" i="3" s="1"/>
  <c r="AB56" i="3" s="1"/>
  <c r="AC56" i="3" s="1"/>
  <c r="DG30" i="2"/>
  <c r="AD30" i="2" s="1"/>
  <c r="V68" i="1"/>
  <c r="X68" i="1" s="1"/>
  <c r="V77" i="1"/>
  <c r="X77" i="1" s="1"/>
  <c r="V60" i="1"/>
  <c r="X60" i="1" s="1"/>
  <c r="U66" i="3"/>
  <c r="V66" i="3" s="1"/>
  <c r="X66" i="3" s="1"/>
  <c r="R62" i="3"/>
  <c r="S62" i="3" s="1"/>
  <c r="U62" i="3" s="1"/>
  <c r="V62" i="3" s="1"/>
  <c r="X62" i="3" s="1"/>
  <c r="R71" i="3"/>
  <c r="S71" i="3" s="1"/>
  <c r="U71" i="3" s="1"/>
  <c r="V71" i="3" s="1"/>
  <c r="X71" i="3" s="1"/>
  <c r="R54" i="3"/>
  <c r="S54" i="3" s="1"/>
  <c r="U54" i="3" s="1"/>
  <c r="V54" i="3" s="1"/>
  <c r="X54" i="3" s="1"/>
  <c r="R69" i="3"/>
  <c r="S69" i="3" s="1"/>
  <c r="U69" i="3" s="1"/>
  <c r="V69" i="3" s="1"/>
  <c r="X69" i="3" s="1"/>
  <c r="R61" i="3"/>
  <c r="S61" i="3" s="1"/>
  <c r="U61" i="3" s="1"/>
  <c r="V61" i="3" s="1"/>
  <c r="X61" i="3" s="1"/>
  <c r="R53" i="3"/>
  <c r="S53" i="3" s="1"/>
  <c r="U53" i="3" s="1"/>
  <c r="V53" i="3" s="1"/>
  <c r="X53" i="3" s="1"/>
  <c r="AB36" i="2"/>
  <c r="AC36" i="2"/>
  <c r="AE36" i="2" s="1"/>
  <c r="V66" i="1"/>
  <c r="X66" i="1" s="1"/>
  <c r="V55" i="1"/>
  <c r="V61" i="1"/>
  <c r="X61" i="1" s="1"/>
  <c r="V81" i="1"/>
  <c r="X81" i="1" s="1"/>
  <c r="V73" i="1"/>
  <c r="X73" i="1" s="1"/>
  <c r="V64" i="1"/>
  <c r="X64" i="1" s="1"/>
  <c r="V71" i="1"/>
  <c r="X71" i="1" s="1"/>
  <c r="R50" i="3"/>
  <c r="S50" i="3" s="1"/>
  <c r="U50" i="3" s="1"/>
  <c r="V50" i="3" s="1"/>
  <c r="AA4" i="3"/>
  <c r="R68" i="3"/>
  <c r="S68" i="3" s="1"/>
  <c r="U68" i="3" s="1"/>
  <c r="V68" i="3" s="1"/>
  <c r="X68" i="3" s="1"/>
  <c r="R60" i="3"/>
  <c r="S60" i="3" s="1"/>
  <c r="U60" i="3" s="1"/>
  <c r="V60" i="3" s="1"/>
  <c r="X60" i="3" s="1"/>
  <c r="R52" i="3"/>
  <c r="S52" i="3" s="1"/>
  <c r="U52" i="3" s="1"/>
  <c r="V52" i="3" s="1"/>
  <c r="X52" i="3" s="1"/>
  <c r="R67" i="3"/>
  <c r="S67" i="3" s="1"/>
  <c r="U67" i="3" s="1"/>
  <c r="V67" i="3" s="1"/>
  <c r="X67" i="3" s="1"/>
  <c r="R51" i="3"/>
  <c r="S51" i="3" s="1"/>
  <c r="U51" i="3" s="1"/>
  <c r="V51" i="3" s="1"/>
  <c r="X51" i="3" s="1"/>
  <c r="R58" i="3"/>
  <c r="S58" i="3" s="1"/>
  <c r="U58" i="3" s="1"/>
  <c r="V58" i="3" s="1"/>
  <c r="X58" i="3" s="1"/>
  <c r="R59" i="3"/>
  <c r="S59" i="3" s="1"/>
  <c r="U59" i="3" s="1"/>
  <c r="V59" i="3" s="1"/>
  <c r="X59" i="3" s="1"/>
  <c r="U57" i="3"/>
  <c r="V57" i="3" s="1"/>
  <c r="X57" i="3" s="1"/>
  <c r="U65" i="3"/>
  <c r="V65" i="3" s="1"/>
  <c r="X65" i="3" s="1"/>
  <c r="U63" i="3"/>
  <c r="V63" i="3" s="1"/>
  <c r="X63" i="3" s="1"/>
  <c r="U55" i="3"/>
  <c r="V55" i="3" s="1"/>
  <c r="X55" i="3" s="1"/>
  <c r="V74" i="1"/>
  <c r="V79" i="1"/>
  <c r="X79" i="1" s="1"/>
  <c r="V75" i="1"/>
  <c r="X75" i="1" s="1"/>
  <c r="V56" i="1"/>
  <c r="X56" i="1" s="1"/>
  <c r="CT34" i="2"/>
  <c r="Z34" i="2" s="1"/>
  <c r="CT35" i="2"/>
  <c r="Z35" i="2" s="1"/>
  <c r="CF5" i="3"/>
  <c r="AX15" i="4"/>
  <c r="M15" i="4" s="1"/>
  <c r="N15" i="4" s="1"/>
  <c r="BK15" i="4"/>
  <c r="Q15" i="4" s="1"/>
  <c r="BX15" i="4"/>
  <c r="U15" i="4" s="1"/>
  <c r="CK15" i="4"/>
  <c r="Y15" i="4" s="1"/>
  <c r="CP38" i="3"/>
  <c r="CM38" i="3"/>
  <c r="CQ74" i="3"/>
  <c r="CQ75" i="3"/>
  <c r="CQ47" i="3"/>
  <c r="CQ73" i="3"/>
  <c r="CQ37" i="3"/>
  <c r="CQ39" i="3"/>
  <c r="CQ40" i="3"/>
  <c r="CQ41" i="3"/>
  <c r="CQ42" i="3"/>
  <c r="CQ43" i="3"/>
  <c r="CQ44" i="3"/>
  <c r="CQ45" i="3"/>
  <c r="CQ72" i="3"/>
  <c r="CH33" i="2"/>
  <c r="CL33" i="2"/>
  <c r="CN33" i="2"/>
  <c r="CR33" i="2"/>
  <c r="N22" i="3"/>
  <c r="O22" i="3" s="1"/>
  <c r="P22" i="3" s="1"/>
  <c r="N23" i="3"/>
  <c r="O23" i="3" s="1"/>
  <c r="P23" i="3" s="1"/>
  <c r="N24" i="3"/>
  <c r="O24" i="3" s="1"/>
  <c r="P24" i="3" s="1"/>
  <c r="N25" i="3"/>
  <c r="O25" i="3" s="1"/>
  <c r="P25" i="3" s="1"/>
  <c r="N26" i="3"/>
  <c r="O26" i="3" s="1"/>
  <c r="P26" i="3" s="1"/>
  <c r="N27" i="3"/>
  <c r="O27" i="3" s="1"/>
  <c r="P27" i="3" s="1"/>
  <c r="N28" i="3"/>
  <c r="O28" i="3" s="1"/>
  <c r="P28" i="3" s="1"/>
  <c r="N29" i="3"/>
  <c r="O29" i="3" s="1"/>
  <c r="P29" i="3" s="1"/>
  <c r="N30" i="3"/>
  <c r="O30" i="3" s="1"/>
  <c r="P30" i="3" s="1"/>
  <c r="N31" i="3"/>
  <c r="O31" i="3" s="1"/>
  <c r="P31" i="3" s="1"/>
  <c r="N32" i="3"/>
  <c r="O32" i="3" s="1"/>
  <c r="P32" i="3" s="1"/>
  <c r="N33" i="3"/>
  <c r="O33" i="3" s="1"/>
  <c r="P33" i="3" s="1"/>
  <c r="N34" i="3"/>
  <c r="O34" i="3" s="1"/>
  <c r="P34" i="3" s="1"/>
  <c r="N35" i="3"/>
  <c r="O35" i="3" s="1"/>
  <c r="P35" i="3" s="1"/>
  <c r="N21" i="3"/>
  <c r="O21" i="3" s="1"/>
  <c r="P21" i="3" s="1"/>
  <c r="N37" i="3"/>
  <c r="O37" i="3" s="1"/>
  <c r="P37" i="3" s="1"/>
  <c r="N38" i="3"/>
  <c r="O38" i="3" s="1"/>
  <c r="P38" i="3" s="1"/>
  <c r="N39" i="3"/>
  <c r="O39" i="3" s="1"/>
  <c r="P39" i="3" s="1"/>
  <c r="N40" i="3"/>
  <c r="O40" i="3" s="1"/>
  <c r="P40" i="3" s="1"/>
  <c r="N41" i="3"/>
  <c r="O41" i="3" s="1"/>
  <c r="P41" i="3" s="1"/>
  <c r="N42" i="3"/>
  <c r="O42" i="3" s="1"/>
  <c r="P42" i="3" s="1"/>
  <c r="N43" i="3"/>
  <c r="O43" i="3" s="1"/>
  <c r="P43" i="3" s="1"/>
  <c r="N44" i="3"/>
  <c r="O44" i="3" s="1"/>
  <c r="P44" i="3" s="1"/>
  <c r="N45" i="3"/>
  <c r="O45" i="3" s="1"/>
  <c r="P45" i="3" s="1"/>
  <c r="N47" i="3"/>
  <c r="O47" i="3" s="1"/>
  <c r="P47" i="3" s="1"/>
  <c r="N72" i="3"/>
  <c r="O72" i="3" s="1"/>
  <c r="P72" i="3" s="1"/>
  <c r="N73" i="3"/>
  <c r="O73" i="3" s="1"/>
  <c r="P73" i="3" s="1"/>
  <c r="N74" i="3"/>
  <c r="O74" i="3" s="1"/>
  <c r="P74" i="3" s="1"/>
  <c r="N75" i="3"/>
  <c r="O75" i="3" s="1"/>
  <c r="P75" i="3" s="1"/>
  <c r="P76" i="3"/>
  <c r="P77" i="3"/>
  <c r="Q22" i="3"/>
  <c r="Q23" i="3"/>
  <c r="Q24" i="3"/>
  <c r="Q25" i="3"/>
  <c r="Q26" i="3"/>
  <c r="Q27" i="3"/>
  <c r="Q28" i="3"/>
  <c r="Q29" i="3"/>
  <c r="Q30" i="3"/>
  <c r="Q31" i="3"/>
  <c r="Q32" i="3"/>
  <c r="Q33" i="3"/>
  <c r="Q34" i="3"/>
  <c r="Q35" i="3"/>
  <c r="Q21" i="3"/>
  <c r="Q37" i="3"/>
  <c r="Q38" i="3"/>
  <c r="Q39" i="3"/>
  <c r="Q40" i="3"/>
  <c r="Q41" i="3"/>
  <c r="Q42" i="3"/>
  <c r="Q43" i="3"/>
  <c r="Q44" i="3"/>
  <c r="Q45" i="3"/>
  <c r="Q47" i="3"/>
  <c r="Q72" i="3"/>
  <c r="Q73" i="3"/>
  <c r="Q74" i="3"/>
  <c r="Q75" i="3"/>
  <c r="T22" i="3"/>
  <c r="T23" i="3"/>
  <c r="T24" i="3"/>
  <c r="T25" i="3"/>
  <c r="T26" i="3"/>
  <c r="T27" i="3"/>
  <c r="T28" i="3"/>
  <c r="T29" i="3"/>
  <c r="T30" i="3"/>
  <c r="T31" i="3"/>
  <c r="T32" i="3"/>
  <c r="T33" i="3"/>
  <c r="T34" i="3"/>
  <c r="T35" i="3"/>
  <c r="T21" i="3"/>
  <c r="T37" i="3"/>
  <c r="T38" i="3"/>
  <c r="T39" i="3"/>
  <c r="T40" i="3"/>
  <c r="T41" i="3"/>
  <c r="T42" i="3"/>
  <c r="T43" i="3"/>
  <c r="T44" i="3"/>
  <c r="T45" i="3"/>
  <c r="T47" i="3"/>
  <c r="T72" i="3"/>
  <c r="T73" i="3"/>
  <c r="T74" i="3"/>
  <c r="T75" i="3"/>
  <c r="N33" i="2"/>
  <c r="O33" i="2" s="1"/>
  <c r="N34" i="2"/>
  <c r="O34" i="2" s="1"/>
  <c r="Q34" i="2" s="1"/>
  <c r="N35" i="2"/>
  <c r="O35" i="2" s="1"/>
  <c r="Q35" i="2" s="1"/>
  <c r="N32" i="2"/>
  <c r="O32" i="2" s="1"/>
  <c r="Q32" i="2" s="1"/>
  <c r="N30" i="2"/>
  <c r="O30" i="2" s="1"/>
  <c r="R30" i="2"/>
  <c r="V33" i="2"/>
  <c r="V34" i="2"/>
  <c r="V35" i="2"/>
  <c r="V32" i="2"/>
  <c r="Y28" i="2"/>
  <c r="Y7" i="2"/>
  <c r="AA7" i="2" s="1"/>
  <c r="CS6" i="2"/>
  <c r="CR6" i="2"/>
  <c r="CQ6" i="2"/>
  <c r="CP6" i="2"/>
  <c r="CO6" i="2"/>
  <c r="CN6" i="2"/>
  <c r="CM6" i="2"/>
  <c r="CL6" i="2"/>
  <c r="CK6" i="2"/>
  <c r="CJ6" i="2"/>
  <c r="CI6" i="2"/>
  <c r="CH6" i="2"/>
  <c r="W73" i="3"/>
  <c r="CR38" i="1"/>
  <c r="CR34" i="1"/>
  <c r="CP4" i="3"/>
  <c r="CP6" i="3"/>
  <c r="CG6" i="3"/>
  <c r="CF6" i="3"/>
  <c r="CQ8" i="2"/>
  <c r="CR21" i="2"/>
  <c r="CT32" i="2"/>
  <c r="Z32" i="2" s="1"/>
  <c r="CS9" i="1"/>
  <c r="Y9" i="1" s="1"/>
  <c r="Z9" i="1" s="1"/>
  <c r="CK286" i="4"/>
  <c r="M285" i="4"/>
  <c r="N285" i="4" s="1"/>
  <c r="Q285" i="4"/>
  <c r="AA285" i="4"/>
  <c r="BX285" i="4"/>
  <c r="U285" i="4" s="1"/>
  <c r="CK285" i="4"/>
  <c r="Y285" i="4" s="1"/>
  <c r="AR283" i="4"/>
  <c r="AX283" i="4" s="1"/>
  <c r="M283" i="4" s="1"/>
  <c r="N283" i="4" s="1"/>
  <c r="BK283" i="4"/>
  <c r="Q283" i="4" s="1"/>
  <c r="BX283" i="4"/>
  <c r="U283" i="4" s="1"/>
  <c r="CK283" i="4"/>
  <c r="Y283" i="4" s="1"/>
  <c r="AX284" i="4"/>
  <c r="M284" i="4" s="1"/>
  <c r="N284" i="4" s="1"/>
  <c r="BK284" i="4"/>
  <c r="Q284" i="4" s="1"/>
  <c r="BX284" i="4"/>
  <c r="U284" i="4" s="1"/>
  <c r="CK284" i="4"/>
  <c r="Y284" i="4" s="1"/>
  <c r="AX278" i="4"/>
  <c r="M278" i="4" s="1"/>
  <c r="N278" i="4" s="1"/>
  <c r="BK278" i="4"/>
  <c r="Q278" i="4" s="1"/>
  <c r="BX278" i="4"/>
  <c r="U278" i="4" s="1"/>
  <c r="CK278" i="4"/>
  <c r="Y278" i="4" s="1"/>
  <c r="AX279" i="4"/>
  <c r="M279" i="4" s="1"/>
  <c r="N279" i="4" s="1"/>
  <c r="P279" i="4" s="1"/>
  <c r="BK279" i="4"/>
  <c r="Q279" i="4" s="1"/>
  <c r="BX279" i="4"/>
  <c r="U279" i="4" s="1"/>
  <c r="CK279" i="4"/>
  <c r="Y279" i="4" s="1"/>
  <c r="AX280" i="4"/>
  <c r="M280" i="4" s="1"/>
  <c r="N280" i="4" s="1"/>
  <c r="BG280" i="4"/>
  <c r="BK280" i="4" s="1"/>
  <c r="Q280" i="4" s="1"/>
  <c r="BX280" i="4"/>
  <c r="U280" i="4" s="1"/>
  <c r="CK280" i="4"/>
  <c r="Y280" i="4" s="1"/>
  <c r="AX281" i="4"/>
  <c r="M281" i="4" s="1"/>
  <c r="N281" i="4" s="1"/>
  <c r="O281" i="4" s="1"/>
  <c r="BK281" i="4"/>
  <c r="Q281" i="4" s="1"/>
  <c r="BX281" i="4"/>
  <c r="U281" i="4" s="1"/>
  <c r="CK281" i="4"/>
  <c r="Y281" i="4" s="1"/>
  <c r="AX282" i="4"/>
  <c r="M282" i="4" s="1"/>
  <c r="N282" i="4" s="1"/>
  <c r="P282" i="4" s="1"/>
  <c r="BK282" i="4"/>
  <c r="Q282" i="4" s="1"/>
  <c r="BX282" i="4"/>
  <c r="U282" i="4" s="1"/>
  <c r="CK282" i="4"/>
  <c r="Y282" i="4" s="1"/>
  <c r="AX273" i="4"/>
  <c r="M273" i="4" s="1"/>
  <c r="N273" i="4" s="1"/>
  <c r="BK273" i="4"/>
  <c r="Q273" i="4" s="1"/>
  <c r="BX273" i="4"/>
  <c r="U273" i="4" s="1"/>
  <c r="CK273" i="4"/>
  <c r="Y273" i="4" s="1"/>
  <c r="AX274" i="4"/>
  <c r="M274" i="4" s="1"/>
  <c r="N274" i="4" s="1"/>
  <c r="O274" i="4" s="1"/>
  <c r="BK274" i="4"/>
  <c r="Q274" i="4" s="1"/>
  <c r="BX274" i="4"/>
  <c r="U274" i="4" s="1"/>
  <c r="CK274" i="4"/>
  <c r="Y274" i="4" s="1"/>
  <c r="AX275" i="4"/>
  <c r="M275" i="4" s="1"/>
  <c r="N275" i="4" s="1"/>
  <c r="O275" i="4" s="1"/>
  <c r="BK275" i="4"/>
  <c r="Q275" i="4" s="1"/>
  <c r="BX275" i="4"/>
  <c r="U275" i="4" s="1"/>
  <c r="CK275" i="4"/>
  <c r="Y275" i="4" s="1"/>
  <c r="AX276" i="4"/>
  <c r="M276" i="4" s="1"/>
  <c r="N276" i="4" s="1"/>
  <c r="P276" i="4" s="1"/>
  <c r="BK276" i="4"/>
  <c r="Q276" i="4" s="1"/>
  <c r="BX276" i="4"/>
  <c r="U276" i="4" s="1"/>
  <c r="CK276" i="4"/>
  <c r="Y276" i="4" s="1"/>
  <c r="M277" i="4"/>
  <c r="N277" i="4" s="1"/>
  <c r="Q277" i="4"/>
  <c r="U277" i="4"/>
  <c r="CK277" i="4"/>
  <c r="Y277" i="4" s="1"/>
  <c r="AW270" i="4"/>
  <c r="AX270" i="4" s="1"/>
  <c r="M270" i="4" s="1"/>
  <c r="N270" i="4" s="1"/>
  <c r="BB270" i="4"/>
  <c r="BJ270" i="4"/>
  <c r="BX270" i="4"/>
  <c r="U270" i="4" s="1"/>
  <c r="CK270" i="4"/>
  <c r="Y270" i="4" s="1"/>
  <c r="M271" i="4"/>
  <c r="N271" i="4" s="1"/>
  <c r="P271" i="4" s="1"/>
  <c r="Q271" i="4"/>
  <c r="BX271" i="4"/>
  <c r="U271" i="4" s="1"/>
  <c r="CK271" i="4"/>
  <c r="Y271" i="4" s="1"/>
  <c r="AX272" i="4"/>
  <c r="M272" i="4" s="1"/>
  <c r="N272" i="4" s="1"/>
  <c r="P272" i="4" s="1"/>
  <c r="BK272" i="4"/>
  <c r="Q272" i="4" s="1"/>
  <c r="BX272" i="4"/>
  <c r="U272" i="4" s="1"/>
  <c r="CK272" i="4"/>
  <c r="Y272" i="4" s="1"/>
  <c r="AW264" i="4"/>
  <c r="AX264" i="4" s="1"/>
  <c r="M264" i="4" s="1"/>
  <c r="N264" i="4" s="1"/>
  <c r="BA264" i="4"/>
  <c r="BK264" i="4" s="1"/>
  <c r="Q264" i="4" s="1"/>
  <c r="BX264" i="4"/>
  <c r="U264" i="4" s="1"/>
  <c r="CK264" i="4"/>
  <c r="Y264" i="4" s="1"/>
  <c r="M266" i="4"/>
  <c r="N266" i="4" s="1"/>
  <c r="P266" i="4" s="1"/>
  <c r="BK266" i="4"/>
  <c r="Q266" i="4" s="1"/>
  <c r="BX266" i="4"/>
  <c r="U266" i="4" s="1"/>
  <c r="CK266" i="4"/>
  <c r="Y266" i="4" s="1"/>
  <c r="AX267" i="4"/>
  <c r="M267" i="4" s="1"/>
  <c r="N267" i="4" s="1"/>
  <c r="BK267" i="4"/>
  <c r="Q267" i="4" s="1"/>
  <c r="BX267" i="4"/>
  <c r="U267" i="4" s="1"/>
  <c r="CK267" i="4"/>
  <c r="Y267" i="4" s="1"/>
  <c r="AX268" i="4"/>
  <c r="M268" i="4" s="1"/>
  <c r="N268" i="4" s="1"/>
  <c r="BB268" i="4"/>
  <c r="BF268" i="4"/>
  <c r="BX268" i="4"/>
  <c r="U268" i="4" s="1"/>
  <c r="CK268" i="4"/>
  <c r="Y268" i="4" s="1"/>
  <c r="AX269" i="4"/>
  <c r="M269" i="4" s="1"/>
  <c r="N269" i="4" s="1"/>
  <c r="P269" i="4" s="1"/>
  <c r="BK269" i="4"/>
  <c r="Q269" i="4" s="1"/>
  <c r="BX269" i="4"/>
  <c r="U269" i="4" s="1"/>
  <c r="CK269" i="4"/>
  <c r="Y269" i="4" s="1"/>
  <c r="M262" i="4"/>
  <c r="N262" i="4" s="1"/>
  <c r="Q262" i="4"/>
  <c r="R262" i="4" s="1"/>
  <c r="T262" i="4" s="1"/>
  <c r="U262" i="4"/>
  <c r="CK262" i="4"/>
  <c r="Y262" i="4" s="1"/>
  <c r="AX263" i="4"/>
  <c r="M263" i="4" s="1"/>
  <c r="N263" i="4" s="1"/>
  <c r="O263" i="4" s="1"/>
  <c r="BK263" i="4"/>
  <c r="Q263" i="4" s="1"/>
  <c r="BS263" i="4"/>
  <c r="BX263" i="4" s="1"/>
  <c r="U263" i="4" s="1"/>
  <c r="CK263" i="4"/>
  <c r="Y263" i="4" s="1"/>
  <c r="AX260" i="4"/>
  <c r="M260" i="4" s="1"/>
  <c r="N260" i="4" s="1"/>
  <c r="BK260" i="4"/>
  <c r="Q260" i="4" s="1"/>
  <c r="BN260" i="4"/>
  <c r="BX260" i="4" s="1"/>
  <c r="U260" i="4" s="1"/>
  <c r="CK260" i="4"/>
  <c r="Y260" i="4" s="1"/>
  <c r="AX261" i="4"/>
  <c r="M261" i="4" s="1"/>
  <c r="N261" i="4" s="1"/>
  <c r="O261" i="4" s="1"/>
  <c r="BK261" i="4"/>
  <c r="Q261" i="4" s="1"/>
  <c r="BX261" i="4"/>
  <c r="U261" i="4" s="1"/>
  <c r="CK261" i="4"/>
  <c r="Y261" i="4" s="1"/>
  <c r="AX255" i="4"/>
  <c r="M255" i="4" s="1"/>
  <c r="N255" i="4" s="1"/>
  <c r="BG255" i="4"/>
  <c r="BK255" i="4" s="1"/>
  <c r="Q255" i="4" s="1"/>
  <c r="BX255" i="4"/>
  <c r="U255" i="4" s="1"/>
  <c r="CK255" i="4"/>
  <c r="Y255" i="4" s="1"/>
  <c r="AX256" i="4"/>
  <c r="M256" i="4" s="1"/>
  <c r="N256" i="4" s="1"/>
  <c r="BK256" i="4"/>
  <c r="Q256" i="4" s="1"/>
  <c r="BX256" i="4"/>
  <c r="U256" i="4" s="1"/>
  <c r="CK256" i="4"/>
  <c r="Y256" i="4" s="1"/>
  <c r="AX257" i="4"/>
  <c r="M257" i="4" s="1"/>
  <c r="N257" i="4" s="1"/>
  <c r="BK257" i="4"/>
  <c r="Q257" i="4" s="1"/>
  <c r="BM257" i="4"/>
  <c r="BX257" i="4" s="1"/>
  <c r="U257" i="4" s="1"/>
  <c r="CK257" i="4"/>
  <c r="Y257" i="4" s="1"/>
  <c r="AX258" i="4"/>
  <c r="M258" i="4" s="1"/>
  <c r="N258" i="4" s="1"/>
  <c r="BK258" i="4"/>
  <c r="Q258" i="4" s="1"/>
  <c r="BX258" i="4"/>
  <c r="U258" i="4" s="1"/>
  <c r="CK258" i="4"/>
  <c r="Y258" i="4" s="1"/>
  <c r="AX259" i="4"/>
  <c r="M259" i="4" s="1"/>
  <c r="N259" i="4" s="1"/>
  <c r="P259" i="4" s="1"/>
  <c r="BK259" i="4"/>
  <c r="Q259" i="4" s="1"/>
  <c r="BX259" i="4"/>
  <c r="U259" i="4" s="1"/>
  <c r="CK259" i="4"/>
  <c r="Y259" i="4" s="1"/>
  <c r="AX252" i="4"/>
  <c r="M252" i="4" s="1"/>
  <c r="N252" i="4" s="1"/>
  <c r="O252" i="4" s="1"/>
  <c r="BF252" i="4"/>
  <c r="BK252" i="4" s="1"/>
  <c r="Q252" i="4" s="1"/>
  <c r="BX252" i="4"/>
  <c r="U252" i="4" s="1"/>
  <c r="CD252" i="4"/>
  <c r="CK252" i="4" s="1"/>
  <c r="Y252" i="4" s="1"/>
  <c r="AX253" i="4"/>
  <c r="M253" i="4" s="1"/>
  <c r="N253" i="4" s="1"/>
  <c r="O253" i="4" s="1"/>
  <c r="BK253" i="4"/>
  <c r="Q253" i="4" s="1"/>
  <c r="BX253" i="4"/>
  <c r="U253" i="4" s="1"/>
  <c r="CK253" i="4"/>
  <c r="Y253" i="4" s="1"/>
  <c r="AX254" i="4"/>
  <c r="M254" i="4" s="1"/>
  <c r="N254" i="4" s="1"/>
  <c r="P254" i="4" s="1"/>
  <c r="BK254" i="4"/>
  <c r="Q254" i="4" s="1"/>
  <c r="BX254" i="4"/>
  <c r="U254" i="4" s="1"/>
  <c r="CK254" i="4"/>
  <c r="Y254" i="4" s="1"/>
  <c r="AX243" i="4"/>
  <c r="M243" i="4" s="1"/>
  <c r="N243" i="4" s="1"/>
  <c r="BK243" i="4"/>
  <c r="Q243" i="4" s="1"/>
  <c r="BX243" i="4"/>
  <c r="U243" i="4" s="1"/>
  <c r="CK243" i="4"/>
  <c r="Y243" i="4" s="1"/>
  <c r="AX244" i="4"/>
  <c r="M244" i="4" s="1"/>
  <c r="N244" i="4" s="1"/>
  <c r="BK244" i="4"/>
  <c r="Q244" i="4" s="1"/>
  <c r="BX244" i="4"/>
  <c r="U244" i="4" s="1"/>
  <c r="CK244" i="4"/>
  <c r="Y244" i="4" s="1"/>
  <c r="AX245" i="4"/>
  <c r="M245" i="4" s="1"/>
  <c r="N245" i="4" s="1"/>
  <c r="P245" i="4" s="1"/>
  <c r="BK245" i="4"/>
  <c r="Q245" i="4" s="1"/>
  <c r="BX245" i="4"/>
  <c r="U245" i="4" s="1"/>
  <c r="CK245" i="4"/>
  <c r="Y245" i="4" s="1"/>
  <c r="AX246" i="4"/>
  <c r="M246" i="4" s="1"/>
  <c r="N246" i="4" s="1"/>
  <c r="BD246" i="4"/>
  <c r="BG246" i="4"/>
  <c r="BX246" i="4"/>
  <c r="U246" i="4" s="1"/>
  <c r="CK246" i="4"/>
  <c r="Y246" i="4" s="1"/>
  <c r="AX247" i="4"/>
  <c r="M247" i="4" s="1"/>
  <c r="N247" i="4" s="1"/>
  <c r="P247" i="4" s="1"/>
  <c r="BK247" i="4"/>
  <c r="Q247" i="4" s="1"/>
  <c r="BX247" i="4"/>
  <c r="U247" i="4" s="1"/>
  <c r="CK247" i="4"/>
  <c r="Y247" i="4" s="1"/>
  <c r="AX248" i="4"/>
  <c r="M248" i="4" s="1"/>
  <c r="N248" i="4" s="1"/>
  <c r="P248" i="4" s="1"/>
  <c r="BK248" i="4"/>
  <c r="Q248" i="4" s="1"/>
  <c r="BX248" i="4"/>
  <c r="U248" i="4" s="1"/>
  <c r="CK248" i="4"/>
  <c r="Y248" i="4" s="1"/>
  <c r="AX249" i="4"/>
  <c r="M249" i="4" s="1"/>
  <c r="N249" i="4" s="1"/>
  <c r="P249" i="4" s="1"/>
  <c r="BK249" i="4"/>
  <c r="Q249" i="4" s="1"/>
  <c r="BX249" i="4"/>
  <c r="U249" i="4" s="1"/>
  <c r="CK249" i="4"/>
  <c r="Y249" i="4" s="1"/>
  <c r="AX250" i="4"/>
  <c r="M250" i="4" s="1"/>
  <c r="N250" i="4" s="1"/>
  <c r="P250" i="4" s="1"/>
  <c r="BK250" i="4"/>
  <c r="Q250" i="4" s="1"/>
  <c r="BX250" i="4"/>
  <c r="U250" i="4" s="1"/>
  <c r="CK250" i="4"/>
  <c r="Y250" i="4" s="1"/>
  <c r="AX251" i="4"/>
  <c r="M251" i="4" s="1"/>
  <c r="N251" i="4" s="1"/>
  <c r="P251" i="4" s="1"/>
  <c r="BK251" i="4"/>
  <c r="Q251" i="4" s="1"/>
  <c r="BW251" i="4"/>
  <c r="BX251" i="4" s="1"/>
  <c r="U251" i="4" s="1"/>
  <c r="CK251" i="4"/>
  <c r="Y251" i="4" s="1"/>
  <c r="AW237" i="4"/>
  <c r="AX237" i="4" s="1"/>
  <c r="M237" i="4" s="1"/>
  <c r="N237" i="4" s="1"/>
  <c r="BK237" i="4"/>
  <c r="Q237" i="4" s="1"/>
  <c r="BX237" i="4"/>
  <c r="U237" i="4" s="1"/>
  <c r="CK237" i="4"/>
  <c r="Y237" i="4" s="1"/>
  <c r="AX238" i="4"/>
  <c r="M238" i="4" s="1"/>
  <c r="N238" i="4" s="1"/>
  <c r="BB238" i="4"/>
  <c r="BK238" i="4" s="1"/>
  <c r="Q238" i="4" s="1"/>
  <c r="BX238" i="4"/>
  <c r="U238" i="4" s="1"/>
  <c r="CK238" i="4"/>
  <c r="Y238" i="4" s="1"/>
  <c r="AX239" i="4"/>
  <c r="M239" i="4" s="1"/>
  <c r="N239" i="4" s="1"/>
  <c r="P239" i="4" s="1"/>
  <c r="BK239" i="4"/>
  <c r="Q239" i="4" s="1"/>
  <c r="BX239" i="4"/>
  <c r="U239" i="4" s="1"/>
  <c r="CK239" i="4"/>
  <c r="Y239" i="4" s="1"/>
  <c r="AX240" i="4"/>
  <c r="M240" i="4" s="1"/>
  <c r="N240" i="4" s="1"/>
  <c r="BD240" i="4"/>
  <c r="BK240" i="4" s="1"/>
  <c r="Q240" i="4" s="1"/>
  <c r="BX240" i="4"/>
  <c r="U240" i="4" s="1"/>
  <c r="CK240" i="4"/>
  <c r="Y240" i="4" s="1"/>
  <c r="AX241" i="4"/>
  <c r="M241" i="4" s="1"/>
  <c r="N241" i="4" s="1"/>
  <c r="O241" i="4" s="1"/>
  <c r="BK241" i="4"/>
  <c r="Q241" i="4" s="1"/>
  <c r="BX241" i="4"/>
  <c r="U241" i="4" s="1"/>
  <c r="CK241" i="4"/>
  <c r="Y241" i="4" s="1"/>
  <c r="AX242" i="4"/>
  <c r="M242" i="4" s="1"/>
  <c r="N242" i="4" s="1"/>
  <c r="P242" i="4" s="1"/>
  <c r="BK242" i="4"/>
  <c r="Q242" i="4" s="1"/>
  <c r="BX242" i="4"/>
  <c r="U242" i="4" s="1"/>
  <c r="CK242" i="4"/>
  <c r="Y242" i="4" s="1"/>
  <c r="AW230" i="4"/>
  <c r="L230" i="4" s="1"/>
  <c r="M230" i="4" s="1"/>
  <c r="BJ230" i="4"/>
  <c r="P230" i="4" s="1"/>
  <c r="BW230" i="4"/>
  <c r="T230" i="4" s="1"/>
  <c r="CJ230" i="4"/>
  <c r="X230" i="4" s="1"/>
  <c r="AW231" i="4"/>
  <c r="L231" i="4" s="1"/>
  <c r="M231" i="4" s="1"/>
  <c r="O231" i="4" s="1"/>
  <c r="BJ231" i="4"/>
  <c r="P231" i="4" s="1"/>
  <c r="BW231" i="4"/>
  <c r="T231" i="4" s="1"/>
  <c r="CJ231" i="4"/>
  <c r="X231" i="4" s="1"/>
  <c r="AW232" i="4"/>
  <c r="L232" i="4" s="1"/>
  <c r="M232" i="4" s="1"/>
  <c r="BJ232" i="4"/>
  <c r="P232" i="4" s="1"/>
  <c r="BW232" i="4"/>
  <c r="T232" i="4" s="1"/>
  <c r="CJ232" i="4"/>
  <c r="X232" i="4" s="1"/>
  <c r="AW233" i="4"/>
  <c r="L233" i="4" s="1"/>
  <c r="M233" i="4" s="1"/>
  <c r="N233" i="4" s="1"/>
  <c r="BB233" i="4"/>
  <c r="BJ233" i="4" s="1"/>
  <c r="P233" i="4" s="1"/>
  <c r="BW233" i="4"/>
  <c r="T233" i="4" s="1"/>
  <c r="CJ233" i="4"/>
  <c r="X233" i="4" s="1"/>
  <c r="AW234" i="4"/>
  <c r="L234" i="4" s="1"/>
  <c r="M234" i="4" s="1"/>
  <c r="O234" i="4" s="1"/>
  <c r="BJ234" i="4"/>
  <c r="P234" i="4" s="1"/>
  <c r="BW234" i="4"/>
  <c r="T234" i="4" s="1"/>
  <c r="CJ234" i="4"/>
  <c r="X234" i="4" s="1"/>
  <c r="AW235" i="4"/>
  <c r="L235" i="4" s="1"/>
  <c r="M235" i="4" s="1"/>
  <c r="O235" i="4" s="1"/>
  <c r="BJ235" i="4"/>
  <c r="P235" i="4" s="1"/>
  <c r="BW235" i="4"/>
  <c r="T235" i="4" s="1"/>
  <c r="CJ235" i="4"/>
  <c r="X235" i="4" s="1"/>
  <c r="AW236" i="4"/>
  <c r="L236" i="4" s="1"/>
  <c r="M236" i="4" s="1"/>
  <c r="O236" i="4" s="1"/>
  <c r="BA236" i="4"/>
  <c r="BJ236" i="4" s="1"/>
  <c r="P236" i="4" s="1"/>
  <c r="BW236" i="4"/>
  <c r="T236" i="4" s="1"/>
  <c r="CJ236" i="4"/>
  <c r="X236" i="4" s="1"/>
  <c r="AX224" i="4"/>
  <c r="M224" i="4" s="1"/>
  <c r="N224" i="4" s="1"/>
  <c r="AY224" i="4"/>
  <c r="BK224" i="4" s="1"/>
  <c r="Q224" i="4" s="1"/>
  <c r="BX224" i="4"/>
  <c r="U224" i="4" s="1"/>
  <c r="CK224" i="4"/>
  <c r="Y224" i="4" s="1"/>
  <c r="AX225" i="4"/>
  <c r="M225" i="4" s="1"/>
  <c r="N225" i="4" s="1"/>
  <c r="P225" i="4" s="1"/>
  <c r="BK225" i="4"/>
  <c r="Q225" i="4" s="1"/>
  <c r="BX225" i="4"/>
  <c r="U225" i="4" s="1"/>
  <c r="CK225" i="4"/>
  <c r="Y225" i="4" s="1"/>
  <c r="AX226" i="4"/>
  <c r="M226" i="4" s="1"/>
  <c r="N226" i="4" s="1"/>
  <c r="BK226" i="4"/>
  <c r="Q226" i="4" s="1"/>
  <c r="BX226" i="4"/>
  <c r="U226" i="4" s="1"/>
  <c r="CK226" i="4"/>
  <c r="Y226" i="4" s="1"/>
  <c r="AX227" i="4"/>
  <c r="M227" i="4" s="1"/>
  <c r="N227" i="4" s="1"/>
  <c r="O227" i="4" s="1"/>
  <c r="BK227" i="4"/>
  <c r="Q227" i="4" s="1"/>
  <c r="BX227" i="4"/>
  <c r="U227" i="4" s="1"/>
  <c r="CK227" i="4"/>
  <c r="Y227" i="4" s="1"/>
  <c r="AX228" i="4"/>
  <c r="M228" i="4" s="1"/>
  <c r="N228" i="4" s="1"/>
  <c r="P228" i="4" s="1"/>
  <c r="BK228" i="4"/>
  <c r="Q228" i="4" s="1"/>
  <c r="BX228" i="4"/>
  <c r="U228" i="4" s="1"/>
  <c r="CK228" i="4"/>
  <c r="Y228" i="4" s="1"/>
  <c r="AX229" i="4"/>
  <c r="M229" i="4" s="1"/>
  <c r="N229" i="4" s="1"/>
  <c r="P229" i="4" s="1"/>
  <c r="BK229" i="4"/>
  <c r="Q229" i="4" s="1"/>
  <c r="BX229" i="4"/>
  <c r="U229" i="4" s="1"/>
  <c r="CK229" i="4"/>
  <c r="Y229" i="4" s="1"/>
  <c r="AX221" i="4"/>
  <c r="M221" i="4" s="1"/>
  <c r="N221" i="4" s="1"/>
  <c r="BK221" i="4"/>
  <c r="Q221" i="4" s="1"/>
  <c r="BX221" i="4"/>
  <c r="U221" i="4" s="1"/>
  <c r="CK221" i="4"/>
  <c r="Y221" i="4" s="1"/>
  <c r="AX222" i="4"/>
  <c r="M222" i="4" s="1"/>
  <c r="N222" i="4" s="1"/>
  <c r="BK222" i="4"/>
  <c r="Q222" i="4" s="1"/>
  <c r="BX222" i="4"/>
  <c r="U222" i="4" s="1"/>
  <c r="CK222" i="4"/>
  <c r="Y222" i="4" s="1"/>
  <c r="AX223" i="4"/>
  <c r="M223" i="4" s="1"/>
  <c r="N223" i="4" s="1"/>
  <c r="P223" i="4" s="1"/>
  <c r="BF223" i="4"/>
  <c r="BK223" i="4" s="1"/>
  <c r="Q223" i="4" s="1"/>
  <c r="BX223" i="4"/>
  <c r="U223" i="4" s="1"/>
  <c r="CK223" i="4"/>
  <c r="Y223" i="4" s="1"/>
  <c r="AX220" i="4"/>
  <c r="M220" i="4" s="1"/>
  <c r="N220" i="4" s="1"/>
  <c r="BK220" i="4"/>
  <c r="Q220" i="4" s="1"/>
  <c r="BX220" i="4"/>
  <c r="U220" i="4" s="1"/>
  <c r="CK220" i="4"/>
  <c r="Y220" i="4" s="1"/>
  <c r="AX218" i="4"/>
  <c r="M218" i="4" s="1"/>
  <c r="N218" i="4" s="1"/>
  <c r="BK218" i="4"/>
  <c r="Q218" i="4" s="1"/>
  <c r="BX218" i="4"/>
  <c r="U218" i="4" s="1"/>
  <c r="CK218" i="4"/>
  <c r="Y218" i="4" s="1"/>
  <c r="AX219" i="4"/>
  <c r="M219" i="4" s="1"/>
  <c r="N219" i="4" s="1"/>
  <c r="O219" i="4" s="1"/>
  <c r="BK219" i="4"/>
  <c r="Q219" i="4" s="1"/>
  <c r="BX219" i="4"/>
  <c r="U219" i="4" s="1"/>
  <c r="CK219" i="4"/>
  <c r="Y219" i="4" s="1"/>
  <c r="AX211" i="4"/>
  <c r="M211" i="4" s="1"/>
  <c r="N211" i="4" s="1"/>
  <c r="BK211" i="4"/>
  <c r="Q211" i="4" s="1"/>
  <c r="BX211" i="4"/>
  <c r="U211" i="4" s="1"/>
  <c r="CK211" i="4"/>
  <c r="Y211" i="4" s="1"/>
  <c r="AX212" i="4"/>
  <c r="M212" i="4" s="1"/>
  <c r="N212" i="4" s="1"/>
  <c r="BK212" i="4"/>
  <c r="Q212" i="4" s="1"/>
  <c r="BX212" i="4"/>
  <c r="U212" i="4" s="1"/>
  <c r="CK212" i="4"/>
  <c r="Y212" i="4" s="1"/>
  <c r="AX213" i="4"/>
  <c r="M213" i="4" s="1"/>
  <c r="N213" i="4" s="1"/>
  <c r="P213" i="4" s="1"/>
  <c r="BK213" i="4"/>
  <c r="Q213" i="4" s="1"/>
  <c r="BX213" i="4"/>
  <c r="U213" i="4" s="1"/>
  <c r="CK213" i="4"/>
  <c r="Y213" i="4" s="1"/>
  <c r="AO214" i="4"/>
  <c r="AX214" i="4" s="1"/>
  <c r="M214" i="4" s="1"/>
  <c r="N214" i="4" s="1"/>
  <c r="BB214" i="4"/>
  <c r="BK214" i="4" s="1"/>
  <c r="Q214" i="4" s="1"/>
  <c r="BX214" i="4"/>
  <c r="U214" i="4" s="1"/>
  <c r="CK214" i="4"/>
  <c r="Y214" i="4" s="1"/>
  <c r="AX215" i="4"/>
  <c r="M215" i="4" s="1"/>
  <c r="N215" i="4" s="1"/>
  <c r="P215" i="4" s="1"/>
  <c r="BK215" i="4"/>
  <c r="Q215" i="4" s="1"/>
  <c r="BX215" i="4"/>
  <c r="U215" i="4" s="1"/>
  <c r="CK215" i="4"/>
  <c r="Y215" i="4" s="1"/>
  <c r="AX217" i="4"/>
  <c r="M217" i="4" s="1"/>
  <c r="N217" i="4" s="1"/>
  <c r="P217" i="4" s="1"/>
  <c r="BK217" i="4"/>
  <c r="Q217" i="4" s="1"/>
  <c r="BX217" i="4"/>
  <c r="U217" i="4" s="1"/>
  <c r="CK217" i="4"/>
  <c r="Y217" i="4" s="1"/>
  <c r="R46" i="3" l="1"/>
  <c r="S46" i="3" s="1"/>
  <c r="U46" i="3" s="1"/>
  <c r="V46" i="3" s="1"/>
  <c r="X46" i="3" s="1"/>
  <c r="Y46" i="3" s="1"/>
  <c r="W74" i="1"/>
  <c r="X74" i="1"/>
  <c r="Z74" i="1" s="1"/>
  <c r="AB9" i="1"/>
  <c r="AD9" i="1" s="1"/>
  <c r="AE9" i="1" s="1"/>
  <c r="AA9" i="1"/>
  <c r="W55" i="1"/>
  <c r="X55" i="1"/>
  <c r="Z55" i="1" s="1"/>
  <c r="Z66" i="1"/>
  <c r="W66" i="1"/>
  <c r="Z75" i="1"/>
  <c r="W75" i="1"/>
  <c r="Z79" i="1"/>
  <c r="W79" i="1"/>
  <c r="Z68" i="1"/>
  <c r="W68" i="1"/>
  <c r="Z81" i="1"/>
  <c r="W81" i="1"/>
  <c r="Z71" i="1"/>
  <c r="W71" i="1"/>
  <c r="Z64" i="1"/>
  <c r="W64" i="1"/>
  <c r="Z73" i="1"/>
  <c r="W73" i="1"/>
  <c r="Z61" i="1"/>
  <c r="W61" i="1"/>
  <c r="Z56" i="1"/>
  <c r="W56" i="1"/>
  <c r="Z60" i="1"/>
  <c r="W60" i="1"/>
  <c r="Z77" i="1"/>
  <c r="W77" i="1"/>
  <c r="Y64" i="3"/>
  <c r="Q311" i="4"/>
  <c r="R311" i="4" s="1"/>
  <c r="T311" i="4" s="1"/>
  <c r="U311" i="4" s="1"/>
  <c r="W311" i="4" s="1"/>
  <c r="Q310" i="4"/>
  <c r="R310" i="4" s="1"/>
  <c r="T310" i="4" s="1"/>
  <c r="U310" i="4" s="1"/>
  <c r="W310" i="4" s="1"/>
  <c r="Y56" i="3"/>
  <c r="V65" i="1"/>
  <c r="Z55" i="3"/>
  <c r="AB55" i="3" s="1"/>
  <c r="AC55" i="3" s="1"/>
  <c r="Y55" i="3"/>
  <c r="Y51" i="3"/>
  <c r="Z51" i="3"/>
  <c r="AB51" i="3" s="1"/>
  <c r="AC51" i="3" s="1"/>
  <c r="Y66" i="3"/>
  <c r="Z66" i="3"/>
  <c r="AB66" i="3" s="1"/>
  <c r="AC66" i="3" s="1"/>
  <c r="Y63" i="3"/>
  <c r="Z63" i="3"/>
  <c r="AB63" i="3" s="1"/>
  <c r="AC63" i="3" s="1"/>
  <c r="Y67" i="3"/>
  <c r="Z67" i="3"/>
  <c r="AB67" i="3" s="1"/>
  <c r="AC67" i="3" s="1"/>
  <c r="Y65" i="3"/>
  <c r="Z65" i="3"/>
  <c r="AB65" i="3" s="1"/>
  <c r="AC65" i="3" s="1"/>
  <c r="Y52" i="3"/>
  <c r="Z52" i="3"/>
  <c r="AB52" i="3" s="1"/>
  <c r="AC52" i="3" s="1"/>
  <c r="Y53" i="3"/>
  <c r="Z53" i="3"/>
  <c r="AB53" i="3" s="1"/>
  <c r="AC53" i="3" s="1"/>
  <c r="Y57" i="3"/>
  <c r="Z57" i="3"/>
  <c r="AB57" i="3" s="1"/>
  <c r="AC57" i="3" s="1"/>
  <c r="Y60" i="3"/>
  <c r="Z60" i="3"/>
  <c r="AB60" i="3" s="1"/>
  <c r="AC60" i="3" s="1"/>
  <c r="Y61" i="3"/>
  <c r="Z61" i="3"/>
  <c r="AB61" i="3" s="1"/>
  <c r="AC61" i="3" s="1"/>
  <c r="Y68" i="3"/>
  <c r="Z68" i="3"/>
  <c r="AB68" i="3" s="1"/>
  <c r="AC68" i="3" s="1"/>
  <c r="Y69" i="3"/>
  <c r="Z69" i="3"/>
  <c r="AB69" i="3" s="1"/>
  <c r="AC69" i="3" s="1"/>
  <c r="Y54" i="3"/>
  <c r="Z54" i="3"/>
  <c r="AB54" i="3" s="1"/>
  <c r="AC54" i="3" s="1"/>
  <c r="Y59" i="3"/>
  <c r="Z59" i="3"/>
  <c r="AB59" i="3" s="1"/>
  <c r="AC59" i="3" s="1"/>
  <c r="Z71" i="3"/>
  <c r="AB71" i="3" s="1"/>
  <c r="AC71" i="3" s="1"/>
  <c r="Y71" i="3"/>
  <c r="Y58" i="3"/>
  <c r="Z58" i="3"/>
  <c r="AB58" i="3" s="1"/>
  <c r="AC58" i="3" s="1"/>
  <c r="Y62" i="3"/>
  <c r="Z62" i="3"/>
  <c r="AB62" i="3" s="1"/>
  <c r="AC62" i="3" s="1"/>
  <c r="AF7" i="2"/>
  <c r="AC7" i="2"/>
  <c r="AE7" i="2" s="1"/>
  <c r="S34" i="2"/>
  <c r="U34" i="2" s="1"/>
  <c r="W34" i="2" s="1"/>
  <c r="X34" i="2" s="1"/>
  <c r="CT33" i="2"/>
  <c r="Z33" i="2" s="1"/>
  <c r="P30" i="2"/>
  <c r="Q30" i="2"/>
  <c r="S30" i="2" s="1"/>
  <c r="U30" i="2" s="1"/>
  <c r="P34" i="2"/>
  <c r="S32" i="2"/>
  <c r="U32" i="2" s="1"/>
  <c r="W32" i="2" s="1"/>
  <c r="Y32" i="2" s="1"/>
  <c r="AA32" i="2" s="1"/>
  <c r="S35" i="2"/>
  <c r="U35" i="2" s="1"/>
  <c r="W35" i="2" s="1"/>
  <c r="X35" i="2" s="1"/>
  <c r="V70" i="1"/>
  <c r="X70" i="1" s="1"/>
  <c r="V72" i="1"/>
  <c r="X72" i="1" s="1"/>
  <c r="V59" i="1"/>
  <c r="V67" i="1"/>
  <c r="V76" i="1"/>
  <c r="V78" i="1"/>
  <c r="V80" i="1"/>
  <c r="V53" i="1"/>
  <c r="V42" i="1"/>
  <c r="V62" i="1"/>
  <c r="V63" i="1"/>
  <c r="V43" i="1"/>
  <c r="V52" i="1"/>
  <c r="X52" i="1" s="1"/>
  <c r="W75" i="3"/>
  <c r="W50" i="3"/>
  <c r="X50" i="3" s="1"/>
  <c r="W72" i="3"/>
  <c r="W48" i="3"/>
  <c r="W74" i="3"/>
  <c r="W49" i="3"/>
  <c r="R49" i="3"/>
  <c r="S49" i="3" s="1"/>
  <c r="U49" i="3" s="1"/>
  <c r="V49" i="3" s="1"/>
  <c r="R48" i="3"/>
  <c r="S48" i="3" s="1"/>
  <c r="U48" i="3" s="1"/>
  <c r="V48" i="3" s="1"/>
  <c r="V45" i="1"/>
  <c r="X45" i="1" s="1"/>
  <c r="V49" i="1"/>
  <c r="X49" i="1" s="1"/>
  <c r="V39" i="1"/>
  <c r="V44" i="1"/>
  <c r="X44" i="1" s="1"/>
  <c r="R44" i="3"/>
  <c r="S44" i="3" s="1"/>
  <c r="U44" i="3" s="1"/>
  <c r="V44" i="3" s="1"/>
  <c r="R25" i="3"/>
  <c r="S23" i="3" s="1"/>
  <c r="U23" i="3" s="1"/>
  <c r="V23" i="3" s="1"/>
  <c r="R75" i="3"/>
  <c r="S75" i="3" s="1"/>
  <c r="U75" i="3" s="1"/>
  <c r="V75" i="3" s="1"/>
  <c r="R24" i="3"/>
  <c r="S22" i="3" s="1"/>
  <c r="U22" i="3" s="1"/>
  <c r="V22" i="3" s="1"/>
  <c r="R38" i="3"/>
  <c r="S38" i="3" s="1"/>
  <c r="U38" i="3" s="1"/>
  <c r="V38" i="3" s="1"/>
  <c r="X38" i="3" s="1"/>
  <c r="R37" i="3"/>
  <c r="S37" i="3" s="1"/>
  <c r="U37" i="3" s="1"/>
  <c r="V37" i="3" s="1"/>
  <c r="X37" i="3" s="1"/>
  <c r="R26" i="3"/>
  <c r="S24" i="3" s="1"/>
  <c r="U24" i="3" s="1"/>
  <c r="V24" i="3" s="1"/>
  <c r="CQ38" i="3"/>
  <c r="R40" i="3"/>
  <c r="S40" i="3" s="1"/>
  <c r="U40" i="3" s="1"/>
  <c r="V40" i="3" s="1"/>
  <c r="R47" i="3"/>
  <c r="S47" i="3" s="1"/>
  <c r="U47" i="3" s="1"/>
  <c r="V47" i="3" s="1"/>
  <c r="R21" i="3"/>
  <c r="S21" i="3" s="1"/>
  <c r="U21" i="3" s="1"/>
  <c r="V21" i="3" s="1"/>
  <c r="R34" i="3"/>
  <c r="S34" i="3" s="1"/>
  <c r="U34" i="3" s="1"/>
  <c r="V34" i="3" s="1"/>
  <c r="R43" i="3"/>
  <c r="S43" i="3" s="1"/>
  <c r="U43" i="3" s="1"/>
  <c r="V43" i="3" s="1"/>
  <c r="R32" i="3"/>
  <c r="S32" i="3" s="1"/>
  <c r="U32" i="3" s="1"/>
  <c r="V32" i="3" s="1"/>
  <c r="R33" i="3"/>
  <c r="S33" i="3" s="1"/>
  <c r="U33" i="3" s="1"/>
  <c r="V33" i="3" s="1"/>
  <c r="R72" i="3"/>
  <c r="S72" i="3" s="1"/>
  <c r="U72" i="3" s="1"/>
  <c r="V72" i="3" s="1"/>
  <c r="R39" i="3"/>
  <c r="S39" i="3" s="1"/>
  <c r="U39" i="3" s="1"/>
  <c r="V39" i="3" s="1"/>
  <c r="R35" i="3"/>
  <c r="S35" i="3" s="1"/>
  <c r="U35" i="3" s="1"/>
  <c r="V35" i="3" s="1"/>
  <c r="R45" i="3"/>
  <c r="S45" i="3" s="1"/>
  <c r="U45" i="3" s="1"/>
  <c r="V45" i="3" s="1"/>
  <c r="R73" i="3"/>
  <c r="S73" i="3" s="1"/>
  <c r="U73" i="3" s="1"/>
  <c r="V73" i="3" s="1"/>
  <c r="X73" i="3" s="1"/>
  <c r="R41" i="3"/>
  <c r="S41" i="3" s="1"/>
  <c r="U41" i="3" s="1"/>
  <c r="V41" i="3" s="1"/>
  <c r="V50" i="1"/>
  <c r="X50" i="1" s="1"/>
  <c r="V47" i="1"/>
  <c r="X47" i="1" s="1"/>
  <c r="O15" i="4"/>
  <c r="P15" i="4"/>
  <c r="R15" i="4" s="1"/>
  <c r="Q33" i="2"/>
  <c r="S33" i="2" s="1"/>
  <c r="T33" i="2" s="1"/>
  <c r="P33" i="2"/>
  <c r="P32" i="2"/>
  <c r="P35" i="2"/>
  <c r="R27" i="3"/>
  <c r="S25" i="3" s="1"/>
  <c r="U25" i="3" s="1"/>
  <c r="V25" i="3" s="1"/>
  <c r="R29" i="3"/>
  <c r="R30" i="3"/>
  <c r="S30" i="3" s="1"/>
  <c r="U30" i="3" s="1"/>
  <c r="V30" i="3" s="1"/>
  <c r="R28" i="3"/>
  <c r="R42" i="3"/>
  <c r="S42" i="3" s="1"/>
  <c r="U42" i="3" s="1"/>
  <c r="V42" i="3" s="1"/>
  <c r="R74" i="3"/>
  <c r="S74" i="3" s="1"/>
  <c r="U74" i="3" s="1"/>
  <c r="V74" i="3" s="1"/>
  <c r="R31" i="3"/>
  <c r="S31" i="3" s="1"/>
  <c r="U31" i="3" s="1"/>
  <c r="V31" i="3" s="1"/>
  <c r="O285" i="4"/>
  <c r="P285" i="4"/>
  <c r="R285" i="4" s="1"/>
  <c r="O284" i="4"/>
  <c r="P284" i="4"/>
  <c r="R284" i="4" s="1"/>
  <c r="O283" i="4"/>
  <c r="P283" i="4"/>
  <c r="R283" i="4" s="1"/>
  <c r="P280" i="4"/>
  <c r="R280" i="4" s="1"/>
  <c r="S280" i="4" s="1"/>
  <c r="O280" i="4"/>
  <c r="R282" i="4"/>
  <c r="T282" i="4" s="1"/>
  <c r="V282" i="4" s="1"/>
  <c r="X282" i="4" s="1"/>
  <c r="Z282" i="4" s="1"/>
  <c r="R279" i="4"/>
  <c r="T279" i="4" s="1"/>
  <c r="V279" i="4" s="1"/>
  <c r="X279" i="4" s="1"/>
  <c r="Z279" i="4" s="1"/>
  <c r="P278" i="4"/>
  <c r="R278" i="4" s="1"/>
  <c r="O278" i="4"/>
  <c r="R271" i="4"/>
  <c r="T271" i="4" s="1"/>
  <c r="V271" i="4" s="1"/>
  <c r="X271" i="4" s="1"/>
  <c r="Z271" i="4" s="1"/>
  <c r="AA271" i="4" s="1"/>
  <c r="BK270" i="4"/>
  <c r="Q270" i="4" s="1"/>
  <c r="P281" i="4"/>
  <c r="R281" i="4" s="1"/>
  <c r="P274" i="4"/>
  <c r="R274" i="4" s="1"/>
  <c r="S274" i="4" s="1"/>
  <c r="R276" i="4"/>
  <c r="T276" i="4" s="1"/>
  <c r="V276" i="4" s="1"/>
  <c r="X276" i="4" s="1"/>
  <c r="Z276" i="4" s="1"/>
  <c r="P277" i="4"/>
  <c r="R277" i="4" s="1"/>
  <c r="O277" i="4"/>
  <c r="P273" i="4"/>
  <c r="R273" i="4" s="1"/>
  <c r="O273" i="4"/>
  <c r="P275" i="4"/>
  <c r="R275" i="4" s="1"/>
  <c r="R266" i="4"/>
  <c r="T266" i="4" s="1"/>
  <c r="V266" i="4" s="1"/>
  <c r="X266" i="4" s="1"/>
  <c r="Z266" i="4" s="1"/>
  <c r="AA266" i="4" s="1"/>
  <c r="R269" i="4"/>
  <c r="T269" i="4" s="1"/>
  <c r="V269" i="4" s="1"/>
  <c r="X269" i="4" s="1"/>
  <c r="Z269" i="4" s="1"/>
  <c r="R272" i="4"/>
  <c r="T272" i="4" s="1"/>
  <c r="V272" i="4" s="1"/>
  <c r="X272" i="4" s="1"/>
  <c r="Z272" i="4" s="1"/>
  <c r="BK268" i="4"/>
  <c r="Q268" i="4" s="1"/>
  <c r="O270" i="4"/>
  <c r="P270" i="4"/>
  <c r="P267" i="4"/>
  <c r="R267" i="4" s="1"/>
  <c r="O267" i="4"/>
  <c r="O268" i="4"/>
  <c r="P268" i="4"/>
  <c r="O264" i="4"/>
  <c r="P264" i="4"/>
  <c r="R264" i="4" s="1"/>
  <c r="V262" i="4"/>
  <c r="X262" i="4" s="1"/>
  <c r="Z262" i="4" s="1"/>
  <c r="R259" i="4"/>
  <c r="T259" i="4" s="1"/>
  <c r="V259" i="4" s="1"/>
  <c r="X259" i="4" s="1"/>
  <c r="Z259" i="4" s="1"/>
  <c r="P263" i="4"/>
  <c r="R263" i="4" s="1"/>
  <c r="P258" i="4"/>
  <c r="R258" i="4" s="1"/>
  <c r="S258" i="4" s="1"/>
  <c r="O258" i="4"/>
  <c r="P256" i="4"/>
  <c r="R256" i="4" s="1"/>
  <c r="S256" i="4" s="1"/>
  <c r="O256" i="4"/>
  <c r="P261" i="4"/>
  <c r="R261" i="4" s="1"/>
  <c r="O260" i="4"/>
  <c r="P260" i="4"/>
  <c r="R260" i="4" s="1"/>
  <c r="BK246" i="4"/>
  <c r="Q246" i="4" s="1"/>
  <c r="O255" i="4"/>
  <c r="P255" i="4"/>
  <c r="R255" i="4" s="1"/>
  <c r="O257" i="4"/>
  <c r="P257" i="4"/>
  <c r="R257" i="4" s="1"/>
  <c r="P244" i="4"/>
  <c r="R244" i="4" s="1"/>
  <c r="T244" i="4" s="1"/>
  <c r="V244" i="4" s="1"/>
  <c r="O244" i="4"/>
  <c r="P253" i="4"/>
  <c r="R253" i="4" s="1"/>
  <c r="T253" i="4" s="1"/>
  <c r="V253" i="4" s="1"/>
  <c r="R254" i="4"/>
  <c r="T254" i="4" s="1"/>
  <c r="V254" i="4" s="1"/>
  <c r="X254" i="4" s="1"/>
  <c r="Z254" i="4" s="1"/>
  <c r="P252" i="4"/>
  <c r="R252" i="4" s="1"/>
  <c r="P246" i="4"/>
  <c r="O246" i="4"/>
  <c r="R251" i="4"/>
  <c r="T251" i="4" s="1"/>
  <c r="V251" i="4" s="1"/>
  <c r="X251" i="4" s="1"/>
  <c r="Z251" i="4" s="1"/>
  <c r="AA251" i="4" s="1"/>
  <c r="R249" i="4"/>
  <c r="T249" i="4" s="1"/>
  <c r="V249" i="4" s="1"/>
  <c r="X249" i="4" s="1"/>
  <c r="Z249" i="4" s="1"/>
  <c r="AA249" i="4" s="1"/>
  <c r="R247" i="4"/>
  <c r="T247" i="4" s="1"/>
  <c r="V247" i="4" s="1"/>
  <c r="X247" i="4" s="1"/>
  <c r="Z247" i="4" s="1"/>
  <c r="R250" i="4"/>
  <c r="T250" i="4" s="1"/>
  <c r="V250" i="4" s="1"/>
  <c r="X250" i="4" s="1"/>
  <c r="Z250" i="4" s="1"/>
  <c r="AA250" i="4" s="1"/>
  <c r="O243" i="4"/>
  <c r="P243" i="4"/>
  <c r="R243" i="4" s="1"/>
  <c r="R245" i="4"/>
  <c r="T245" i="4" s="1"/>
  <c r="V245" i="4" s="1"/>
  <c r="X245" i="4" s="1"/>
  <c r="Z245" i="4" s="1"/>
  <c r="R248" i="4"/>
  <c r="T248" i="4" s="1"/>
  <c r="V248" i="4" s="1"/>
  <c r="X248" i="4" s="1"/>
  <c r="Z248" i="4" s="1"/>
  <c r="AA248" i="4" s="1"/>
  <c r="O237" i="4"/>
  <c r="P237" i="4"/>
  <c r="R237" i="4" s="1"/>
  <c r="O238" i="4"/>
  <c r="P238" i="4"/>
  <c r="R238" i="4" s="1"/>
  <c r="R239" i="4"/>
  <c r="T239" i="4" s="1"/>
  <c r="V239" i="4" s="1"/>
  <c r="X239" i="4" s="1"/>
  <c r="Z239" i="4" s="1"/>
  <c r="R242" i="4"/>
  <c r="T242" i="4" s="1"/>
  <c r="V242" i="4" s="1"/>
  <c r="X242" i="4" s="1"/>
  <c r="Z242" i="4" s="1"/>
  <c r="O240" i="4"/>
  <c r="P240" i="4"/>
  <c r="R240" i="4" s="1"/>
  <c r="P241" i="4"/>
  <c r="R241" i="4" s="1"/>
  <c r="O232" i="4"/>
  <c r="Q232" i="4" s="1"/>
  <c r="R232" i="4" s="1"/>
  <c r="N232" i="4"/>
  <c r="Q231" i="4"/>
  <c r="S231" i="4" s="1"/>
  <c r="U231" i="4" s="1"/>
  <c r="W231" i="4" s="1"/>
  <c r="Y231" i="4" s="1"/>
  <c r="Z231" i="4" s="1"/>
  <c r="Q235" i="4"/>
  <c r="S235" i="4" s="1"/>
  <c r="U235" i="4" s="1"/>
  <c r="W235" i="4" s="1"/>
  <c r="Y235" i="4" s="1"/>
  <c r="Z235" i="4" s="1"/>
  <c r="Q236" i="4"/>
  <c r="S236" i="4" s="1"/>
  <c r="U236" i="4" s="1"/>
  <c r="W236" i="4" s="1"/>
  <c r="Y236" i="4" s="1"/>
  <c r="N230" i="4"/>
  <c r="O230" i="4"/>
  <c r="Q230" i="4" s="1"/>
  <c r="Q234" i="4"/>
  <c r="S234" i="4" s="1"/>
  <c r="U234" i="4" s="1"/>
  <c r="W234" i="4" s="1"/>
  <c r="Y234" i="4" s="1"/>
  <c r="Z234" i="4" s="1"/>
  <c r="O233" i="4"/>
  <c r="Q233" i="4" s="1"/>
  <c r="R225" i="4"/>
  <c r="T225" i="4" s="1"/>
  <c r="V225" i="4" s="1"/>
  <c r="X225" i="4" s="1"/>
  <c r="Z225" i="4" s="1"/>
  <c r="R228" i="4"/>
  <c r="T228" i="4" s="1"/>
  <c r="V228" i="4" s="1"/>
  <c r="X228" i="4" s="1"/>
  <c r="Z228" i="4" s="1"/>
  <c r="AA228" i="4" s="1"/>
  <c r="O224" i="4"/>
  <c r="P224" i="4"/>
  <c r="R224" i="4" s="1"/>
  <c r="R229" i="4"/>
  <c r="T229" i="4" s="1"/>
  <c r="V229" i="4" s="1"/>
  <c r="X229" i="4" s="1"/>
  <c r="Z229" i="4" s="1"/>
  <c r="AA229" i="4" s="1"/>
  <c r="O226" i="4"/>
  <c r="P226" i="4"/>
  <c r="R226" i="4" s="1"/>
  <c r="P227" i="4"/>
  <c r="R227" i="4" s="1"/>
  <c r="O222" i="4"/>
  <c r="P222" i="4"/>
  <c r="R222" i="4" s="1"/>
  <c r="S222" i="4" s="1"/>
  <c r="O221" i="4"/>
  <c r="P221" i="4"/>
  <c r="R221" i="4" s="1"/>
  <c r="R223" i="4"/>
  <c r="T223" i="4" s="1"/>
  <c r="V223" i="4" s="1"/>
  <c r="X223" i="4" s="1"/>
  <c r="Z223" i="4" s="1"/>
  <c r="P212" i="4"/>
  <c r="R212" i="4" s="1"/>
  <c r="S212" i="4" s="1"/>
  <c r="O212" i="4"/>
  <c r="O220" i="4"/>
  <c r="P220" i="4"/>
  <c r="R220" i="4" s="1"/>
  <c r="O218" i="4"/>
  <c r="P218" i="4"/>
  <c r="R218" i="4" s="1"/>
  <c r="P219" i="4"/>
  <c r="R219" i="4" s="1"/>
  <c r="R213" i="4"/>
  <c r="T213" i="4" s="1"/>
  <c r="V213" i="4" s="1"/>
  <c r="X213" i="4" s="1"/>
  <c r="Z213" i="4" s="1"/>
  <c r="AA213" i="4" s="1"/>
  <c r="R217" i="4"/>
  <c r="T217" i="4" s="1"/>
  <c r="V217" i="4" s="1"/>
  <c r="X217" i="4" s="1"/>
  <c r="Z217" i="4" s="1"/>
  <c r="O211" i="4"/>
  <c r="P211" i="4"/>
  <c r="R211" i="4" s="1"/>
  <c r="R215" i="4"/>
  <c r="T215" i="4" s="1"/>
  <c r="V215" i="4" s="1"/>
  <c r="X215" i="4" s="1"/>
  <c r="Z215" i="4" s="1"/>
  <c r="AA215" i="4" s="1"/>
  <c r="O214" i="4"/>
  <c r="P214" i="4"/>
  <c r="R214" i="4" s="1"/>
  <c r="Z46" i="3" l="1"/>
  <c r="AB46" i="3" s="1"/>
  <c r="AC46" i="3" s="1"/>
  <c r="AA55" i="1"/>
  <c r="AB55" i="1"/>
  <c r="AD55" i="1" s="1"/>
  <c r="AE55" i="1" s="1"/>
  <c r="AA74" i="1"/>
  <c r="AB74" i="1"/>
  <c r="AD74" i="1" s="1"/>
  <c r="AE74" i="1" s="1"/>
  <c r="AB75" i="1"/>
  <c r="AD75" i="1" s="1"/>
  <c r="AE75" i="1" s="1"/>
  <c r="AA75" i="1"/>
  <c r="W76" i="1"/>
  <c r="X76" i="1"/>
  <c r="Z76" i="1" s="1"/>
  <c r="W63" i="1"/>
  <c r="X63" i="1"/>
  <c r="Z63" i="1" s="1"/>
  <c r="AB61" i="1"/>
  <c r="AD61" i="1" s="1"/>
  <c r="AE61" i="1" s="1"/>
  <c r="AA61" i="1"/>
  <c r="W62" i="1"/>
  <c r="X62" i="1"/>
  <c r="Z62" i="1" s="1"/>
  <c r="W59" i="1"/>
  <c r="X59" i="1"/>
  <c r="Z59" i="1" s="1"/>
  <c r="AB77" i="1"/>
  <c r="AD77" i="1" s="1"/>
  <c r="AE77" i="1" s="1"/>
  <c r="AA77" i="1"/>
  <c r="AB73" i="1"/>
  <c r="AD73" i="1" s="1"/>
  <c r="AE73" i="1" s="1"/>
  <c r="AA73" i="1"/>
  <c r="AB68" i="1"/>
  <c r="AD68" i="1" s="1"/>
  <c r="AE68" i="1" s="1"/>
  <c r="AA68" i="1"/>
  <c r="AB56" i="1"/>
  <c r="AD56" i="1" s="1"/>
  <c r="AE56" i="1" s="1"/>
  <c r="AA56" i="1"/>
  <c r="AB81" i="1"/>
  <c r="AD81" i="1" s="1"/>
  <c r="AE81" i="1" s="1"/>
  <c r="AA81" i="1"/>
  <c r="W53" i="1"/>
  <c r="X53" i="1"/>
  <c r="Z53" i="1" s="1"/>
  <c r="W65" i="1"/>
  <c r="X65" i="1"/>
  <c r="Z65" i="1" s="1"/>
  <c r="AB60" i="1"/>
  <c r="AD60" i="1" s="1"/>
  <c r="AE60" i="1" s="1"/>
  <c r="AA60" i="1"/>
  <c r="AB64" i="1"/>
  <c r="AD64" i="1" s="1"/>
  <c r="AE64" i="1" s="1"/>
  <c r="AA64" i="1"/>
  <c r="AB79" i="1"/>
  <c r="AD79" i="1" s="1"/>
  <c r="AE79" i="1" s="1"/>
  <c r="AA79" i="1"/>
  <c r="W78" i="1"/>
  <c r="X78" i="1"/>
  <c r="Z78" i="1" s="1"/>
  <c r="AB71" i="1"/>
  <c r="AD71" i="1" s="1"/>
  <c r="AE71" i="1" s="1"/>
  <c r="AA71" i="1"/>
  <c r="W43" i="1"/>
  <c r="X43" i="1"/>
  <c r="W67" i="1"/>
  <c r="X67" i="1"/>
  <c r="Z67" i="1" s="1"/>
  <c r="AB66" i="1"/>
  <c r="AD66" i="1" s="1"/>
  <c r="AE66" i="1" s="1"/>
  <c r="AA66" i="1"/>
  <c r="W39" i="1"/>
  <c r="X39" i="1"/>
  <c r="W42" i="1"/>
  <c r="X42" i="1"/>
  <c r="W80" i="1"/>
  <c r="X80" i="1"/>
  <c r="Z80" i="1" s="1"/>
  <c r="W47" i="1"/>
  <c r="W50" i="1"/>
  <c r="W44" i="1"/>
  <c r="Z72" i="1"/>
  <c r="W72" i="1"/>
  <c r="W49" i="1"/>
  <c r="Z70" i="1"/>
  <c r="W70" i="1"/>
  <c r="W45" i="1"/>
  <c r="W52" i="1"/>
  <c r="X310" i="4"/>
  <c r="Y310" i="4"/>
  <c r="AA310" i="4" s="1"/>
  <c r="AB310" i="4" s="1"/>
  <c r="X311" i="4"/>
  <c r="Y311" i="4"/>
  <c r="AA311" i="4" s="1"/>
  <c r="AB311" i="4" s="1"/>
  <c r="X75" i="3"/>
  <c r="Y73" i="3"/>
  <c r="Z73" i="3"/>
  <c r="AB73" i="3" s="1"/>
  <c r="AC73" i="3" s="1"/>
  <c r="Y37" i="3"/>
  <c r="Z37" i="3"/>
  <c r="AB37" i="3" s="1"/>
  <c r="AC37" i="3" s="1"/>
  <c r="Y38" i="3"/>
  <c r="Z38" i="3"/>
  <c r="AB38" i="3" s="1"/>
  <c r="AC38" i="3" s="1"/>
  <c r="Y50" i="3"/>
  <c r="Z50" i="3"/>
  <c r="AB50" i="3" s="1"/>
  <c r="AC50" i="3" s="1"/>
  <c r="T30" i="2"/>
  <c r="X72" i="3"/>
  <c r="X48" i="3"/>
  <c r="X74" i="3"/>
  <c r="AB32" i="2"/>
  <c r="AF32" i="2"/>
  <c r="AC32" i="2"/>
  <c r="AE32" i="2" s="1"/>
  <c r="T34" i="2"/>
  <c r="T35" i="2"/>
  <c r="T32" i="2"/>
  <c r="X32" i="2"/>
  <c r="X49" i="3"/>
  <c r="V38" i="1"/>
  <c r="V41" i="1"/>
  <c r="U33" i="2"/>
  <c r="W33" i="2" s="1"/>
  <c r="Y33" i="2" s="1"/>
  <c r="AA33" i="2" s="1"/>
  <c r="S28" i="3"/>
  <c r="U28" i="3" s="1"/>
  <c r="V28" i="3" s="1"/>
  <c r="S26" i="3"/>
  <c r="U26" i="3" s="1"/>
  <c r="V26" i="3" s="1"/>
  <c r="S29" i="3"/>
  <c r="U29" i="3" s="1"/>
  <c r="V29" i="3" s="1"/>
  <c r="S27" i="3"/>
  <c r="U27" i="3" s="1"/>
  <c r="V27" i="3" s="1"/>
  <c r="S15" i="4"/>
  <c r="T15" i="4"/>
  <c r="V15" i="4" s="1"/>
  <c r="Y34" i="2"/>
  <c r="AA34" i="2" s="1"/>
  <c r="Y35" i="2"/>
  <c r="AA35" i="2" s="1"/>
  <c r="AB35" i="2" s="1"/>
  <c r="S285" i="4"/>
  <c r="T285" i="4"/>
  <c r="V285" i="4" s="1"/>
  <c r="T280" i="4"/>
  <c r="V280" i="4" s="1"/>
  <c r="W280" i="4" s="1"/>
  <c r="S284" i="4"/>
  <c r="T284" i="4"/>
  <c r="V284" i="4" s="1"/>
  <c r="S283" i="4"/>
  <c r="T283" i="4"/>
  <c r="V283" i="4" s="1"/>
  <c r="T278" i="4"/>
  <c r="V278" i="4" s="1"/>
  <c r="S278" i="4"/>
  <c r="T281" i="4"/>
  <c r="V281" i="4" s="1"/>
  <c r="S281" i="4"/>
  <c r="R270" i="4"/>
  <c r="S270" i="4" s="1"/>
  <c r="T274" i="4"/>
  <c r="V274" i="4" s="1"/>
  <c r="X274" i="4" s="1"/>
  <c r="Z274" i="4" s="1"/>
  <c r="AA274" i="4" s="1"/>
  <c r="R268" i="4"/>
  <c r="S268" i="4" s="1"/>
  <c r="T273" i="4"/>
  <c r="V273" i="4" s="1"/>
  <c r="S273" i="4"/>
  <c r="T275" i="4"/>
  <c r="V275" i="4" s="1"/>
  <c r="S275" i="4"/>
  <c r="T277" i="4"/>
  <c r="V277" i="4" s="1"/>
  <c r="S277" i="4"/>
  <c r="S264" i="4"/>
  <c r="T264" i="4"/>
  <c r="V264" i="4" s="1"/>
  <c r="S253" i="4"/>
  <c r="S267" i="4"/>
  <c r="T267" i="4"/>
  <c r="V267" i="4" s="1"/>
  <c r="S232" i="4"/>
  <c r="U232" i="4" s="1"/>
  <c r="V232" i="4" s="1"/>
  <c r="S263" i="4"/>
  <c r="T263" i="4"/>
  <c r="V263" i="4" s="1"/>
  <c r="R246" i="4"/>
  <c r="S246" i="4" s="1"/>
  <c r="S260" i="4"/>
  <c r="T260" i="4"/>
  <c r="V260" i="4" s="1"/>
  <c r="S261" i="4"/>
  <c r="T261" i="4"/>
  <c r="V261" i="4" s="1"/>
  <c r="T258" i="4"/>
  <c r="V258" i="4" s="1"/>
  <c r="X258" i="4" s="1"/>
  <c r="Z258" i="4" s="1"/>
  <c r="AA258" i="4" s="1"/>
  <c r="T256" i="4"/>
  <c r="V256" i="4" s="1"/>
  <c r="X256" i="4" s="1"/>
  <c r="Z256" i="4" s="1"/>
  <c r="AA256" i="4" s="1"/>
  <c r="S257" i="4"/>
  <c r="T257" i="4"/>
  <c r="V257" i="4" s="1"/>
  <c r="S255" i="4"/>
  <c r="T255" i="4"/>
  <c r="V255" i="4" s="1"/>
  <c r="S252" i="4"/>
  <c r="T252" i="4"/>
  <c r="V252" i="4" s="1"/>
  <c r="W253" i="4"/>
  <c r="X253" i="4"/>
  <c r="Z253" i="4" s="1"/>
  <c r="AA253" i="4" s="1"/>
  <c r="S244" i="4"/>
  <c r="T243" i="4"/>
  <c r="V243" i="4" s="1"/>
  <c r="S243" i="4"/>
  <c r="W244" i="4"/>
  <c r="X244" i="4"/>
  <c r="Z244" i="4" s="1"/>
  <c r="AA244" i="4" s="1"/>
  <c r="S238" i="4"/>
  <c r="T238" i="4"/>
  <c r="V238" i="4" s="1"/>
  <c r="S237" i="4"/>
  <c r="T237" i="4"/>
  <c r="V237" i="4" s="1"/>
  <c r="S240" i="4"/>
  <c r="T240" i="4"/>
  <c r="V240" i="4" s="1"/>
  <c r="S241" i="4"/>
  <c r="T241" i="4"/>
  <c r="V241" i="4" s="1"/>
  <c r="T222" i="4"/>
  <c r="V222" i="4" s="1"/>
  <c r="W222" i="4" s="1"/>
  <c r="R230" i="4"/>
  <c r="S230" i="4"/>
  <c r="U230" i="4" s="1"/>
  <c r="R233" i="4"/>
  <c r="S233" i="4"/>
  <c r="U233" i="4" s="1"/>
  <c r="S227" i="4"/>
  <c r="T227" i="4"/>
  <c r="V227" i="4" s="1"/>
  <c r="S224" i="4"/>
  <c r="T224" i="4"/>
  <c r="V224" i="4" s="1"/>
  <c r="T226" i="4"/>
  <c r="V226" i="4" s="1"/>
  <c r="S226" i="4"/>
  <c r="S221" i="4"/>
  <c r="T221" i="4"/>
  <c r="V221" i="4" s="1"/>
  <c r="T212" i="4"/>
  <c r="V212" i="4" s="1"/>
  <c r="W212" i="4" s="1"/>
  <c r="S220" i="4"/>
  <c r="T220" i="4"/>
  <c r="V220" i="4" s="1"/>
  <c r="S219" i="4"/>
  <c r="T219" i="4"/>
  <c r="V219" i="4" s="1"/>
  <c r="S218" i="4"/>
  <c r="T218" i="4"/>
  <c r="V218" i="4" s="1"/>
  <c r="S211" i="4"/>
  <c r="T211" i="4"/>
  <c r="V211" i="4" s="1"/>
  <c r="S214" i="4"/>
  <c r="T214" i="4"/>
  <c r="V214" i="4" s="1"/>
  <c r="AB67" i="1" l="1"/>
  <c r="AD67" i="1" s="1"/>
  <c r="AE67" i="1" s="1"/>
  <c r="AA67" i="1"/>
  <c r="AB59" i="1"/>
  <c r="AD59" i="1" s="1"/>
  <c r="AE59" i="1" s="1"/>
  <c r="AA59" i="1"/>
  <c r="AB53" i="1"/>
  <c r="AD53" i="1" s="1"/>
  <c r="AE53" i="1" s="1"/>
  <c r="AA53" i="1"/>
  <c r="AB63" i="1"/>
  <c r="AD63" i="1" s="1"/>
  <c r="AE63" i="1" s="1"/>
  <c r="AA63" i="1"/>
  <c r="AB62" i="1"/>
  <c r="AD62" i="1" s="1"/>
  <c r="AE62" i="1" s="1"/>
  <c r="AA62" i="1"/>
  <c r="AA76" i="1"/>
  <c r="AB76" i="1"/>
  <c r="AD76" i="1" s="1"/>
  <c r="AE76" i="1" s="1"/>
  <c r="W38" i="1"/>
  <c r="X38" i="1"/>
  <c r="AA80" i="1"/>
  <c r="AB80" i="1"/>
  <c r="AD80" i="1" s="1"/>
  <c r="AE80" i="1" s="1"/>
  <c r="AB65" i="1"/>
  <c r="AD65" i="1" s="1"/>
  <c r="AE65" i="1" s="1"/>
  <c r="AA65" i="1"/>
  <c r="AB70" i="1"/>
  <c r="AD70" i="1" s="1"/>
  <c r="AE70" i="1" s="1"/>
  <c r="AA70" i="1"/>
  <c r="AB78" i="1"/>
  <c r="AD78" i="1" s="1"/>
  <c r="AE78" i="1" s="1"/>
  <c r="AA78" i="1"/>
  <c r="W41" i="1"/>
  <c r="X41" i="1"/>
  <c r="AA72" i="1"/>
  <c r="AB72" i="1"/>
  <c r="AD72" i="1" s="1"/>
  <c r="AE72" i="1" s="1"/>
  <c r="Y75" i="3"/>
  <c r="Z75" i="3"/>
  <c r="AB75" i="3" s="1"/>
  <c r="Y74" i="3"/>
  <c r="Z74" i="3"/>
  <c r="AB74" i="3" s="1"/>
  <c r="AC74" i="3" s="1"/>
  <c r="Y49" i="3"/>
  <c r="Z49" i="3"/>
  <c r="AB49" i="3" s="1"/>
  <c r="AC49" i="3" s="1"/>
  <c r="Z48" i="3"/>
  <c r="AB48" i="3" s="1"/>
  <c r="AC48" i="3" s="1"/>
  <c r="Y48" i="3"/>
  <c r="Z72" i="3"/>
  <c r="AB72" i="3" s="1"/>
  <c r="AC72" i="3" s="1"/>
  <c r="Y72" i="3"/>
  <c r="AC35" i="2"/>
  <c r="AE35" i="2" s="1"/>
  <c r="AF35" i="2"/>
  <c r="AB34" i="2"/>
  <c r="AF34" i="2"/>
  <c r="AC34" i="2"/>
  <c r="AE34" i="2" s="1"/>
  <c r="AB33" i="2"/>
  <c r="AF33" i="2"/>
  <c r="AC33" i="2"/>
  <c r="AE33" i="2" s="1"/>
  <c r="X33" i="2"/>
  <c r="W274" i="4"/>
  <c r="W15" i="4"/>
  <c r="X15" i="4"/>
  <c r="Z15" i="4" s="1"/>
  <c r="AA15" i="4" s="1"/>
  <c r="X280" i="4"/>
  <c r="Z280" i="4" s="1"/>
  <c r="AA280" i="4" s="1"/>
  <c r="W285" i="4"/>
  <c r="X285" i="4"/>
  <c r="T246" i="4"/>
  <c r="V246" i="4" s="1"/>
  <c r="X246" i="4" s="1"/>
  <c r="Z246" i="4" s="1"/>
  <c r="AA246" i="4" s="1"/>
  <c r="T270" i="4"/>
  <c r="V270" i="4" s="1"/>
  <c r="W270" i="4" s="1"/>
  <c r="W284" i="4"/>
  <c r="X284" i="4"/>
  <c r="Z284" i="4" s="1"/>
  <c r="AA284" i="4" s="1"/>
  <c r="X283" i="4"/>
  <c r="Z283" i="4" s="1"/>
  <c r="AA283" i="4" s="1"/>
  <c r="W283" i="4"/>
  <c r="T268" i="4"/>
  <c r="V268" i="4" s="1"/>
  <c r="W268" i="4" s="1"/>
  <c r="W278" i="4"/>
  <c r="X278" i="4"/>
  <c r="Z278" i="4" s="1"/>
  <c r="AA278" i="4" s="1"/>
  <c r="W281" i="4"/>
  <c r="X281" i="4"/>
  <c r="Z281" i="4" s="1"/>
  <c r="AA281" i="4" s="1"/>
  <c r="W275" i="4"/>
  <c r="X275" i="4"/>
  <c r="Z275" i="4" s="1"/>
  <c r="AA275" i="4" s="1"/>
  <c r="W273" i="4"/>
  <c r="X273" i="4"/>
  <c r="Z273" i="4" s="1"/>
  <c r="AA273" i="4" s="1"/>
  <c r="X277" i="4"/>
  <c r="Z277" i="4" s="1"/>
  <c r="AA277" i="4" s="1"/>
  <c r="W277" i="4"/>
  <c r="X267" i="4"/>
  <c r="Z267" i="4" s="1"/>
  <c r="AA267" i="4" s="1"/>
  <c r="W267" i="4"/>
  <c r="W264" i="4"/>
  <c r="X264" i="4"/>
  <c r="Z264" i="4" s="1"/>
  <c r="AA264" i="4" s="1"/>
  <c r="W232" i="4"/>
  <c r="Y232" i="4" s="1"/>
  <c r="Z232" i="4" s="1"/>
  <c r="W256" i="4"/>
  <c r="W263" i="4"/>
  <c r="X263" i="4"/>
  <c r="Z263" i="4" s="1"/>
  <c r="AA263" i="4" s="1"/>
  <c r="W258" i="4"/>
  <c r="W261" i="4"/>
  <c r="X261" i="4"/>
  <c r="Z261" i="4" s="1"/>
  <c r="AA261" i="4" s="1"/>
  <c r="W260" i="4"/>
  <c r="X260" i="4"/>
  <c r="Z260" i="4" s="1"/>
  <c r="AA260" i="4" s="1"/>
  <c r="X255" i="4"/>
  <c r="Z255" i="4" s="1"/>
  <c r="AA255" i="4" s="1"/>
  <c r="W255" i="4"/>
  <c r="W257" i="4"/>
  <c r="X257" i="4"/>
  <c r="Z257" i="4" s="1"/>
  <c r="AA257" i="4" s="1"/>
  <c r="W252" i="4"/>
  <c r="X252" i="4"/>
  <c r="Z252" i="4" s="1"/>
  <c r="AA252" i="4" s="1"/>
  <c r="W243" i="4"/>
  <c r="X243" i="4"/>
  <c r="Z243" i="4" s="1"/>
  <c r="AA243" i="4" s="1"/>
  <c r="X222" i="4"/>
  <c r="Z222" i="4" s="1"/>
  <c r="AA222" i="4" s="1"/>
  <c r="W240" i="4"/>
  <c r="X240" i="4"/>
  <c r="Z240" i="4" s="1"/>
  <c r="AA240" i="4" s="1"/>
  <c r="W237" i="4"/>
  <c r="X237" i="4"/>
  <c r="Z237" i="4" s="1"/>
  <c r="AA237" i="4" s="1"/>
  <c r="W241" i="4"/>
  <c r="X241" i="4"/>
  <c r="Z241" i="4" s="1"/>
  <c r="AA241" i="4" s="1"/>
  <c r="W238" i="4"/>
  <c r="X238" i="4"/>
  <c r="Z238" i="4" s="1"/>
  <c r="AA238" i="4" s="1"/>
  <c r="V233" i="4"/>
  <c r="W233" i="4"/>
  <c r="Y233" i="4" s="1"/>
  <c r="Z233" i="4" s="1"/>
  <c r="V230" i="4"/>
  <c r="W230" i="4"/>
  <c r="Y230" i="4" s="1"/>
  <c r="Z230" i="4" s="1"/>
  <c r="X212" i="4"/>
  <c r="Z212" i="4" s="1"/>
  <c r="AA212" i="4" s="1"/>
  <c r="W226" i="4"/>
  <c r="X226" i="4"/>
  <c r="Z226" i="4" s="1"/>
  <c r="AA226" i="4" s="1"/>
  <c r="W224" i="4"/>
  <c r="X224" i="4"/>
  <c r="Z224" i="4" s="1"/>
  <c r="AA224" i="4" s="1"/>
  <c r="W227" i="4"/>
  <c r="X227" i="4"/>
  <c r="Z227" i="4" s="1"/>
  <c r="AA227" i="4" s="1"/>
  <c r="W221" i="4"/>
  <c r="X221" i="4"/>
  <c r="Z221" i="4" s="1"/>
  <c r="AA221" i="4" s="1"/>
  <c r="W220" i="4"/>
  <c r="X220" i="4"/>
  <c r="Z220" i="4" s="1"/>
  <c r="AA220" i="4" s="1"/>
  <c r="W219" i="4"/>
  <c r="X219" i="4"/>
  <c r="Z219" i="4" s="1"/>
  <c r="AA219" i="4" s="1"/>
  <c r="W218" i="4"/>
  <c r="X218" i="4"/>
  <c r="Z218" i="4" s="1"/>
  <c r="W214" i="4"/>
  <c r="X214" i="4"/>
  <c r="Z214" i="4" s="1"/>
  <c r="AA214" i="4" s="1"/>
  <c r="W211" i="4"/>
  <c r="X211" i="4"/>
  <c r="Z211" i="4" s="1"/>
  <c r="AA211" i="4" s="1"/>
  <c r="X270" i="4" l="1"/>
  <c r="Z270" i="4" s="1"/>
  <c r="AA270" i="4" s="1"/>
  <c r="W246" i="4"/>
  <c r="X268" i="4"/>
  <c r="Z268" i="4" s="1"/>
  <c r="AA268" i="4" s="1"/>
  <c r="U210" i="4" l="1"/>
  <c r="AT210" i="4"/>
  <c r="M210" i="4" s="1"/>
  <c r="N210" i="4" s="1"/>
  <c r="O210" i="4" s="1"/>
  <c r="BG210" i="4"/>
  <c r="P210" i="4" s="1"/>
  <c r="BT210" i="4"/>
  <c r="S210" i="4" s="1"/>
  <c r="CG210" i="4"/>
  <c r="V210" i="4" s="1"/>
  <c r="U209" i="4"/>
  <c r="AH209" i="4"/>
  <c r="AN209" i="4"/>
  <c r="AX209" i="4"/>
  <c r="AZ209" i="4"/>
  <c r="BC209" i="4"/>
  <c r="BF209" i="4"/>
  <c r="BT209" i="4"/>
  <c r="S209" i="4" s="1"/>
  <c r="CG209" i="4"/>
  <c r="V209" i="4" s="1"/>
  <c r="AT208" i="4"/>
  <c r="M208" i="4" s="1"/>
  <c r="N208" i="4" s="1"/>
  <c r="O208" i="4" s="1"/>
  <c r="AU208" i="4"/>
  <c r="AV208" i="4"/>
  <c r="AW208" i="4"/>
  <c r="AZ208" i="4"/>
  <c r="BA208" i="4"/>
  <c r="BC208" i="4"/>
  <c r="BD208" i="4"/>
  <c r="BE208" i="4"/>
  <c r="BT208" i="4"/>
  <c r="S208" i="4" s="1"/>
  <c r="CG208" i="4"/>
  <c r="V208" i="4" s="1"/>
  <c r="AA207" i="4"/>
  <c r="AX207" i="4"/>
  <c r="M207" i="4" s="1"/>
  <c r="N207" i="4" s="1"/>
  <c r="BK207" i="4"/>
  <c r="Q207" i="4" s="1"/>
  <c r="BX207" i="4"/>
  <c r="U207" i="4" s="1"/>
  <c r="CK207" i="4"/>
  <c r="Y207" i="4" s="1"/>
  <c r="AX204" i="4"/>
  <c r="M204" i="4" s="1"/>
  <c r="N204" i="4" s="1"/>
  <c r="BK204" i="4"/>
  <c r="Q204" i="4" s="1"/>
  <c r="BX204" i="4"/>
  <c r="U204" i="4" s="1"/>
  <c r="CK204" i="4"/>
  <c r="Y204" i="4" s="1"/>
  <c r="AX205" i="4"/>
  <c r="M205" i="4" s="1"/>
  <c r="N205" i="4" s="1"/>
  <c r="BJ205" i="4"/>
  <c r="BK205" i="4" s="1"/>
  <c r="Q205" i="4" s="1"/>
  <c r="BX205" i="4"/>
  <c r="U205" i="4" s="1"/>
  <c r="CK205" i="4"/>
  <c r="Y205" i="4" s="1"/>
  <c r="AA206" i="4"/>
  <c r="AL206" i="4"/>
  <c r="AX206" i="4" s="1"/>
  <c r="M206" i="4" s="1"/>
  <c r="N206" i="4" s="1"/>
  <c r="BA206" i="4"/>
  <c r="BH206" i="4"/>
  <c r="BI206" i="4"/>
  <c r="BX206" i="4"/>
  <c r="U206" i="4" s="1"/>
  <c r="BY206" i="4"/>
  <c r="CK206" i="4" s="1"/>
  <c r="Y206" i="4" s="1"/>
  <c r="AA199" i="4"/>
  <c r="AU199" i="4"/>
  <c r="AX199" i="4" s="1"/>
  <c r="M199" i="4" s="1"/>
  <c r="N199" i="4" s="1"/>
  <c r="BA199" i="4"/>
  <c r="BB199" i="4"/>
  <c r="BD199" i="4"/>
  <c r="BF199" i="4"/>
  <c r="BH199" i="4"/>
  <c r="BJ199" i="4"/>
  <c r="BX199" i="4"/>
  <c r="U199" i="4" s="1"/>
  <c r="CC199" i="4"/>
  <c r="CE199" i="4"/>
  <c r="AX200" i="4"/>
  <c r="M200" i="4" s="1"/>
  <c r="N200" i="4" s="1"/>
  <c r="BK200" i="4"/>
  <c r="Q200" i="4" s="1"/>
  <c r="BX200" i="4"/>
  <c r="U200" i="4" s="1"/>
  <c r="CK200" i="4"/>
  <c r="Y200" i="4" s="1"/>
  <c r="AA201" i="4"/>
  <c r="AX201" i="4"/>
  <c r="M201" i="4" s="1"/>
  <c r="N201" i="4" s="1"/>
  <c r="P201" i="4" s="1"/>
  <c r="BK201" i="4"/>
  <c r="Q201" i="4" s="1"/>
  <c r="BX201" i="4"/>
  <c r="U201" i="4" s="1"/>
  <c r="CK201" i="4"/>
  <c r="Y201" i="4" s="1"/>
  <c r="AA202" i="4"/>
  <c r="AO202" i="4"/>
  <c r="AT202" i="4"/>
  <c r="AV202" i="4"/>
  <c r="BA202" i="4"/>
  <c r="BI202" i="4"/>
  <c r="BX202" i="4"/>
  <c r="U202" i="4" s="1"/>
  <c r="CK202" i="4"/>
  <c r="Y202" i="4" s="1"/>
  <c r="AX197" i="4"/>
  <c r="M197" i="4" s="1"/>
  <c r="N197" i="4" s="1"/>
  <c r="BK197" i="4"/>
  <c r="Q197" i="4" s="1"/>
  <c r="BX197" i="4"/>
  <c r="U197" i="4" s="1"/>
  <c r="CK197" i="4"/>
  <c r="Y197" i="4" s="1"/>
  <c r="AA198" i="4"/>
  <c r="AP198" i="4"/>
  <c r="AX198" i="4" s="1"/>
  <c r="M198" i="4" s="1"/>
  <c r="N198" i="4" s="1"/>
  <c r="BK198" i="4"/>
  <c r="Q198" i="4" s="1"/>
  <c r="BX198" i="4"/>
  <c r="U198" i="4" s="1"/>
  <c r="CK198" i="4"/>
  <c r="Y198" i="4" s="1"/>
  <c r="AL195" i="4"/>
  <c r="AX195" i="4" s="1"/>
  <c r="M195" i="4" s="1"/>
  <c r="N195" i="4" s="1"/>
  <c r="AY195" i="4"/>
  <c r="AZ195" i="4"/>
  <c r="BA195" i="4"/>
  <c r="BB195" i="4"/>
  <c r="BC195" i="4"/>
  <c r="BD195" i="4"/>
  <c r="BE195" i="4"/>
  <c r="BG195" i="4"/>
  <c r="BH195" i="4"/>
  <c r="BI195" i="4"/>
  <c r="BJ195" i="4"/>
  <c r="BX195" i="4"/>
  <c r="U195" i="4" s="1"/>
  <c r="CK195" i="4"/>
  <c r="Y195" i="4" s="1"/>
  <c r="AX196" i="4"/>
  <c r="M196" i="4" s="1"/>
  <c r="N196" i="4" s="1"/>
  <c r="AY196" i="4"/>
  <c r="BF196" i="4"/>
  <c r="BI196" i="4"/>
  <c r="BJ196" i="4"/>
  <c r="BX196" i="4"/>
  <c r="U196" i="4" s="1"/>
  <c r="CK196" i="4"/>
  <c r="Y196" i="4" s="1"/>
  <c r="AL194" i="4"/>
  <c r="AN194" i="4"/>
  <c r="BD194" i="4"/>
  <c r="BJ194" i="4"/>
  <c r="BX194" i="4"/>
  <c r="U194" i="4" s="1"/>
  <c r="CK194" i="4"/>
  <c r="Y194" i="4" s="1"/>
  <c r="Y52" i="1"/>
  <c r="Z52" i="1" s="1"/>
  <c r="CS50" i="1"/>
  <c r="Y50" i="1" s="1"/>
  <c r="Z50" i="1" s="1"/>
  <c r="CS49" i="1"/>
  <c r="Y49" i="1" s="1"/>
  <c r="Z49" i="1" s="1"/>
  <c r="CS47" i="1"/>
  <c r="Y47" i="1" s="1"/>
  <c r="Z47" i="1" s="1"/>
  <c r="CR42" i="1"/>
  <c r="CS42" i="1" s="1"/>
  <c r="Y42" i="1" s="1"/>
  <c r="Z42" i="1" s="1"/>
  <c r="CR41" i="1"/>
  <c r="CQ34" i="1"/>
  <c r="CS34" i="1" s="1"/>
  <c r="CR23" i="1"/>
  <c r="CS45" i="1"/>
  <c r="Y45" i="1" s="1"/>
  <c r="Z45" i="1" s="1"/>
  <c r="CS44" i="1"/>
  <c r="Y44" i="1" s="1"/>
  <c r="Z44" i="1" s="1"/>
  <c r="AB45" i="1" l="1"/>
  <c r="AD45" i="1" s="1"/>
  <c r="AE45" i="1" s="1"/>
  <c r="AA45" i="1"/>
  <c r="AB52" i="1"/>
  <c r="AD52" i="1" s="1"/>
  <c r="AE52" i="1" s="1"/>
  <c r="AA52" i="1"/>
  <c r="AA42" i="1"/>
  <c r="AB42" i="1"/>
  <c r="AD42" i="1" s="1"/>
  <c r="AE42" i="1" s="1"/>
  <c r="AB49" i="1"/>
  <c r="AD49" i="1" s="1"/>
  <c r="AE49" i="1" s="1"/>
  <c r="AA49" i="1"/>
  <c r="AB50" i="1"/>
  <c r="AD50" i="1" s="1"/>
  <c r="AE50" i="1" s="1"/>
  <c r="AA50" i="1"/>
  <c r="AB44" i="1"/>
  <c r="AD44" i="1" s="1"/>
  <c r="AE44" i="1" s="1"/>
  <c r="AA44" i="1"/>
  <c r="AB47" i="1"/>
  <c r="AD47" i="1" s="1"/>
  <c r="AE47" i="1" s="1"/>
  <c r="AA47" i="1"/>
  <c r="BG209" i="4"/>
  <c r="P209" i="4" s="1"/>
  <c r="Q210" i="4"/>
  <c r="R210" i="4" s="1"/>
  <c r="AT209" i="4"/>
  <c r="M209" i="4" s="1"/>
  <c r="N209" i="4" s="1"/>
  <c r="O209" i="4" s="1"/>
  <c r="BG208" i="4"/>
  <c r="P208" i="4" s="1"/>
  <c r="Q208" i="4" s="1"/>
  <c r="R208" i="4" s="1"/>
  <c r="T208" i="4" s="1"/>
  <c r="U208" i="4" s="1"/>
  <c r="BK206" i="4"/>
  <c r="Q206" i="4" s="1"/>
  <c r="O207" i="4"/>
  <c r="P207" i="4"/>
  <c r="R207" i="4" s="1"/>
  <c r="P205" i="4"/>
  <c r="R205" i="4" s="1"/>
  <c r="T205" i="4" s="1"/>
  <c r="V205" i="4" s="1"/>
  <c r="O205" i="4"/>
  <c r="P204" i="4"/>
  <c r="R204" i="4" s="1"/>
  <c r="S204" i="4" s="1"/>
  <c r="O204" i="4"/>
  <c r="O206" i="4"/>
  <c r="P206" i="4"/>
  <c r="AX202" i="4"/>
  <c r="M202" i="4" s="1"/>
  <c r="N202" i="4" s="1"/>
  <c r="O202" i="4" s="1"/>
  <c r="P200" i="4"/>
  <c r="R200" i="4" s="1"/>
  <c r="S200" i="4" s="1"/>
  <c r="O200" i="4"/>
  <c r="BK202" i="4"/>
  <c r="Q202" i="4" s="1"/>
  <c r="CK199" i="4"/>
  <c r="Y199" i="4" s="1"/>
  <c r="BK199" i="4"/>
  <c r="Q199" i="4" s="1"/>
  <c r="O201" i="4"/>
  <c r="O199" i="4"/>
  <c r="P199" i="4"/>
  <c r="R201" i="4"/>
  <c r="O197" i="4"/>
  <c r="P197" i="4"/>
  <c r="R197" i="4" s="1"/>
  <c r="P198" i="4"/>
  <c r="R198" i="4" s="1"/>
  <c r="O198" i="4"/>
  <c r="BK194" i="4"/>
  <c r="Q194" i="4" s="1"/>
  <c r="BK196" i="4"/>
  <c r="Q196" i="4" s="1"/>
  <c r="BK195" i="4"/>
  <c r="Q195" i="4" s="1"/>
  <c r="O196" i="4"/>
  <c r="P196" i="4"/>
  <c r="O195" i="4"/>
  <c r="P195" i="4"/>
  <c r="AX194" i="4"/>
  <c r="M194" i="4" s="1"/>
  <c r="N194" i="4" s="1"/>
  <c r="O194" i="4" s="1"/>
  <c r="Q209" i="4" l="1"/>
  <c r="R209" i="4" s="1"/>
  <c r="R206" i="4"/>
  <c r="T206" i="4" s="1"/>
  <c r="V206" i="4" s="1"/>
  <c r="W206" i="4" s="1"/>
  <c r="S207" i="4"/>
  <c r="T207" i="4"/>
  <c r="V207" i="4" s="1"/>
  <c r="W207" i="4" s="1"/>
  <c r="S205" i="4"/>
  <c r="P202" i="4"/>
  <c r="R202" i="4" s="1"/>
  <c r="T202" i="4" s="1"/>
  <c r="V202" i="4" s="1"/>
  <c r="W202" i="4" s="1"/>
  <c r="T204" i="4"/>
  <c r="V204" i="4" s="1"/>
  <c r="W204" i="4" s="1"/>
  <c r="X205" i="4"/>
  <c r="Z205" i="4" s="1"/>
  <c r="AA205" i="4" s="1"/>
  <c r="W205" i="4"/>
  <c r="T200" i="4"/>
  <c r="V200" i="4" s="1"/>
  <c r="X200" i="4" s="1"/>
  <c r="Z200" i="4" s="1"/>
  <c r="AA200" i="4" s="1"/>
  <c r="P194" i="4"/>
  <c r="R194" i="4" s="1"/>
  <c r="S194" i="4" s="1"/>
  <c r="R199" i="4"/>
  <c r="S199" i="4" s="1"/>
  <c r="S201" i="4"/>
  <c r="T201" i="4"/>
  <c r="V201" i="4" s="1"/>
  <c r="W201" i="4" s="1"/>
  <c r="R196" i="4"/>
  <c r="S196" i="4" s="1"/>
  <c r="S198" i="4"/>
  <c r="T198" i="4"/>
  <c r="V198" i="4" s="1"/>
  <c r="W198" i="4" s="1"/>
  <c r="S197" i="4"/>
  <c r="T197" i="4"/>
  <c r="V197" i="4" s="1"/>
  <c r="R195" i="4"/>
  <c r="S195" i="4" s="1"/>
  <c r="X204" i="4" l="1"/>
  <c r="Z204" i="4" s="1"/>
  <c r="AA204" i="4" s="1"/>
  <c r="S206" i="4"/>
  <c r="S202" i="4"/>
  <c r="W200" i="4"/>
  <c r="T199" i="4"/>
  <c r="V199" i="4" s="1"/>
  <c r="W199" i="4" s="1"/>
  <c r="T194" i="4"/>
  <c r="V194" i="4" s="1"/>
  <c r="X194" i="4" s="1"/>
  <c r="Z194" i="4" s="1"/>
  <c r="AA194" i="4" s="1"/>
  <c r="T195" i="4"/>
  <c r="V195" i="4" s="1"/>
  <c r="W195" i="4" s="1"/>
  <c r="T196" i="4"/>
  <c r="V196" i="4" s="1"/>
  <c r="W196" i="4" s="1"/>
  <c r="W197" i="4"/>
  <c r="X197" i="4"/>
  <c r="Z197" i="4" s="1"/>
  <c r="AA197" i="4" s="1"/>
  <c r="W194" i="4" l="1"/>
  <c r="X195" i="4"/>
  <c r="Z195" i="4" s="1"/>
  <c r="AA195" i="4" s="1"/>
  <c r="X196" i="4"/>
  <c r="Z196" i="4" s="1"/>
  <c r="AA196" i="4" s="1"/>
  <c r="BD19" i="1" l="1"/>
  <c r="BB19" i="1"/>
  <c r="BE19" i="1"/>
  <c r="AZ19" i="1"/>
  <c r="BJ19" i="1"/>
  <c r="BI19" i="1"/>
  <c r="BN19" i="1"/>
  <c r="CS30" i="1"/>
  <c r="CS31" i="1"/>
  <c r="CS29" i="1"/>
  <c r="CS37" i="1"/>
  <c r="CS38" i="1"/>
  <c r="Y38" i="1" s="1"/>
  <c r="Z38" i="1" s="1"/>
  <c r="CS39" i="1"/>
  <c r="Y39" i="1" s="1"/>
  <c r="Z39" i="1" s="1"/>
  <c r="CS40" i="1"/>
  <c r="Y40" i="1" s="1"/>
  <c r="CS41" i="1"/>
  <c r="Y41" i="1" s="1"/>
  <c r="Z41" i="1" s="1"/>
  <c r="CS43" i="1"/>
  <c r="Y43" i="1" s="1"/>
  <c r="Z43" i="1" s="1"/>
  <c r="CB18" i="1"/>
  <c r="AB39" i="1" l="1"/>
  <c r="AD39" i="1" s="1"/>
  <c r="AE39" i="1" s="1"/>
  <c r="AA39" i="1"/>
  <c r="AA38" i="1"/>
  <c r="AB38" i="1"/>
  <c r="AD38" i="1" s="1"/>
  <c r="AE38" i="1" s="1"/>
  <c r="AB43" i="1"/>
  <c r="AD43" i="1" s="1"/>
  <c r="AE43" i="1" s="1"/>
  <c r="AA43" i="1"/>
  <c r="AA41" i="1"/>
  <c r="AB41" i="1"/>
  <c r="AD41" i="1" s="1"/>
  <c r="AE41" i="1" s="1"/>
  <c r="W47" i="3"/>
  <c r="X47" i="3" s="1"/>
  <c r="W45" i="3"/>
  <c r="X45" i="3" s="1"/>
  <c r="W44" i="3"/>
  <c r="X44" i="3" s="1"/>
  <c r="W43" i="3"/>
  <c r="X43" i="3" s="1"/>
  <c r="W42" i="3"/>
  <c r="X42" i="3" s="1"/>
  <c r="W41" i="3"/>
  <c r="X41" i="3" s="1"/>
  <c r="W40" i="3"/>
  <c r="X40" i="3" s="1"/>
  <c r="W39" i="3"/>
  <c r="X39" i="3" s="1"/>
  <c r="Y42" i="3" l="1"/>
  <c r="Z42" i="3"/>
  <c r="AB42" i="3" s="1"/>
  <c r="AC42" i="3" s="1"/>
  <c r="Y44" i="3"/>
  <c r="Z44" i="3"/>
  <c r="AB44" i="3" s="1"/>
  <c r="AC44" i="3" s="1"/>
  <c r="Y45" i="3"/>
  <c r="Z45" i="3"/>
  <c r="AB45" i="3" s="1"/>
  <c r="AC45" i="3" s="1"/>
  <c r="Z39" i="3"/>
  <c r="AB39" i="3" s="1"/>
  <c r="AC39" i="3" s="1"/>
  <c r="Y39" i="3"/>
  <c r="Z47" i="3"/>
  <c r="AB47" i="3" s="1"/>
  <c r="AC47" i="3" s="1"/>
  <c r="Y47" i="3"/>
  <c r="Y41" i="3"/>
  <c r="Z41" i="3"/>
  <c r="AB41" i="3" s="1"/>
  <c r="AC41" i="3" s="1"/>
  <c r="Y43" i="3"/>
  <c r="Z43" i="3"/>
  <c r="AB43" i="3" s="1"/>
  <c r="AC43" i="3" s="1"/>
  <c r="Z40" i="3"/>
  <c r="AB40" i="3" s="1"/>
  <c r="AC40" i="3" s="1"/>
  <c r="Y40" i="3"/>
  <c r="CL4" i="3"/>
  <c r="BS22" i="2" l="1"/>
  <c r="BR22" i="2"/>
  <c r="BM22" i="2"/>
  <c r="CO8" i="2"/>
  <c r="CK4" i="3" l="1"/>
  <c r="CJ4" i="3"/>
  <c r="CE14" i="1"/>
  <c r="CF14" i="1" s="1"/>
  <c r="U14" i="1" s="1"/>
  <c r="CC4" i="3"/>
  <c r="CD4" i="3" s="1"/>
  <c r="CG4" i="2"/>
  <c r="CG6" i="2"/>
  <c r="CG7" i="2"/>
  <c r="CG8" i="2"/>
  <c r="CG10" i="2"/>
  <c r="CG11" i="2"/>
  <c r="CG12" i="2"/>
  <c r="CG13" i="2"/>
  <c r="CG14" i="2"/>
  <c r="CG15" i="2"/>
  <c r="CG16" i="2"/>
  <c r="CG17" i="2"/>
  <c r="CG18" i="2"/>
  <c r="CG19" i="2"/>
  <c r="CG20" i="2"/>
  <c r="CG21" i="2"/>
  <c r="CG22" i="2"/>
  <c r="CG23" i="2"/>
  <c r="CG24" i="2"/>
  <c r="CG25" i="2"/>
  <c r="CG26" i="2"/>
  <c r="CG27" i="2"/>
  <c r="CG28" i="2"/>
  <c r="CG29" i="2"/>
  <c r="CG30" i="2"/>
  <c r="V30" i="2" s="1"/>
  <c r="W30" i="2" s="1"/>
  <c r="CD6" i="3"/>
  <c r="CD7" i="3"/>
  <c r="CD8" i="3"/>
  <c r="CD9" i="3"/>
  <c r="CD10" i="3"/>
  <c r="CD11" i="3"/>
  <c r="CD13" i="3"/>
  <c r="CD16" i="3"/>
  <c r="CD19" i="3"/>
  <c r="CD20" i="3"/>
  <c r="X30" i="2" l="1"/>
  <c r="Y30" i="2"/>
  <c r="CH4" i="3" l="1"/>
  <c r="CI4" i="3"/>
  <c r="CL23" i="1"/>
  <c r="CG4" i="3"/>
  <c r="CI18" i="1"/>
  <c r="CF4" i="3"/>
  <c r="CE4" i="3" l="1"/>
  <c r="CQ4" i="3" s="1"/>
  <c r="W4" i="3" s="1"/>
  <c r="X4" i="3" s="1"/>
  <c r="CE18" i="3"/>
  <c r="CQ18" i="3" s="1"/>
  <c r="W18" i="3" s="1"/>
  <c r="CH21" i="1"/>
  <c r="CS21" i="1" s="1"/>
  <c r="Y21" i="1" s="1"/>
  <c r="CQ6" i="3"/>
  <c r="W6" i="3" s="1"/>
  <c r="CT30" i="2"/>
  <c r="Z30" i="2" s="1"/>
  <c r="AA30" i="2" s="1"/>
  <c r="CH22" i="2"/>
  <c r="CT22" i="2" s="1"/>
  <c r="Z22" i="2" s="1"/>
  <c r="CQ22" i="3"/>
  <c r="W22" i="3" s="1"/>
  <c r="X22" i="3" s="1"/>
  <c r="CQ23" i="3"/>
  <c r="W23" i="3" s="1"/>
  <c r="X23" i="3" s="1"/>
  <c r="CQ24" i="3"/>
  <c r="W24" i="3" s="1"/>
  <c r="X24" i="3" s="1"/>
  <c r="CQ25" i="3"/>
  <c r="W25" i="3" s="1"/>
  <c r="X25" i="3" s="1"/>
  <c r="CQ26" i="3"/>
  <c r="W26" i="3" s="1"/>
  <c r="X26" i="3" s="1"/>
  <c r="CQ27" i="3"/>
  <c r="W27" i="3" s="1"/>
  <c r="X27" i="3" s="1"/>
  <c r="CQ28" i="3"/>
  <c r="W28" i="3" s="1"/>
  <c r="X28" i="3" s="1"/>
  <c r="CQ29" i="3"/>
  <c r="W29" i="3" s="1"/>
  <c r="X29" i="3" s="1"/>
  <c r="CQ30" i="3"/>
  <c r="W30" i="3" s="1"/>
  <c r="X30" i="3" s="1"/>
  <c r="CQ31" i="3"/>
  <c r="W31" i="3" s="1"/>
  <c r="X31" i="3" s="1"/>
  <c r="CQ32" i="3"/>
  <c r="W32" i="3" s="1"/>
  <c r="X32" i="3" s="1"/>
  <c r="CQ33" i="3"/>
  <c r="W33" i="3" s="1"/>
  <c r="X33" i="3" s="1"/>
  <c r="CQ34" i="3"/>
  <c r="W34" i="3" s="1"/>
  <c r="X34" i="3" s="1"/>
  <c r="CQ35" i="3"/>
  <c r="W35" i="3" s="1"/>
  <c r="X35" i="3" s="1"/>
  <c r="CQ5" i="3"/>
  <c r="W5" i="3" s="1"/>
  <c r="CQ7" i="3"/>
  <c r="W7" i="3" s="1"/>
  <c r="CQ8" i="3"/>
  <c r="W8" i="3" s="1"/>
  <c r="CQ9" i="3"/>
  <c r="W9" i="3" s="1"/>
  <c r="CQ10" i="3"/>
  <c r="W10" i="3" s="1"/>
  <c r="CQ11" i="3"/>
  <c r="W11" i="3" s="1"/>
  <c r="CQ12" i="3"/>
  <c r="W12" i="3" s="1"/>
  <c r="CQ13" i="3"/>
  <c r="W13" i="3" s="1"/>
  <c r="CQ14" i="3"/>
  <c r="W14" i="3" s="1"/>
  <c r="CQ15" i="3"/>
  <c r="W15" i="3" s="1"/>
  <c r="CQ16" i="3"/>
  <c r="W16" i="3" s="1"/>
  <c r="CQ17" i="3"/>
  <c r="W17" i="3" s="1"/>
  <c r="CQ19" i="3"/>
  <c r="W19" i="3" s="1"/>
  <c r="CQ20" i="3"/>
  <c r="W20" i="3" s="1"/>
  <c r="CS6" i="1"/>
  <c r="Y6" i="1" s="1"/>
  <c r="CS7" i="1"/>
  <c r="Y7" i="1" s="1"/>
  <c r="CS8" i="1"/>
  <c r="Y8" i="1" s="1"/>
  <c r="CS10" i="1"/>
  <c r="Y10" i="1" s="1"/>
  <c r="CS12" i="1"/>
  <c r="Y12" i="1" s="1"/>
  <c r="CS13" i="1"/>
  <c r="Y13" i="1" s="1"/>
  <c r="CS14" i="1"/>
  <c r="Y14" i="1" s="1"/>
  <c r="CS15" i="1"/>
  <c r="Y15" i="1" s="1"/>
  <c r="CS16" i="1"/>
  <c r="Y16" i="1" s="1"/>
  <c r="CS17" i="1"/>
  <c r="Y17" i="1" s="1"/>
  <c r="CS18" i="1"/>
  <c r="Y18" i="1" s="1"/>
  <c r="CS19" i="1"/>
  <c r="Y19" i="1" s="1"/>
  <c r="CS23" i="1"/>
  <c r="Y23" i="1" s="1"/>
  <c r="CS24" i="1"/>
  <c r="Y24" i="1" s="1"/>
  <c r="CS25" i="1"/>
  <c r="Y25" i="1" s="1"/>
  <c r="CS26" i="1"/>
  <c r="Y26" i="1" s="1"/>
  <c r="CS28" i="1"/>
  <c r="Y28" i="1" s="1"/>
  <c r="Y31" i="1"/>
  <c r="CS32" i="1"/>
  <c r="Y32" i="1" s="1"/>
  <c r="CS33" i="1"/>
  <c r="Y33" i="1" s="1"/>
  <c r="CS35" i="1"/>
  <c r="Y35" i="1" s="1"/>
  <c r="CS36" i="1"/>
  <c r="Y36" i="1" s="1"/>
  <c r="CT4" i="2"/>
  <c r="Z4" i="2" s="1"/>
  <c r="CT6" i="2"/>
  <c r="Z6" i="2" s="1"/>
  <c r="CT7" i="2"/>
  <c r="CT8" i="2"/>
  <c r="Z8" i="2" s="1"/>
  <c r="CT10" i="2"/>
  <c r="Z10" i="2" s="1"/>
  <c r="CT11" i="2"/>
  <c r="Z11" i="2" s="1"/>
  <c r="CT12" i="2"/>
  <c r="Z12" i="2" s="1"/>
  <c r="CT14" i="2"/>
  <c r="Z14" i="2" s="1"/>
  <c r="CT15" i="2"/>
  <c r="Z15" i="2" s="1"/>
  <c r="CT16" i="2"/>
  <c r="Z16" i="2" s="1"/>
  <c r="CT17" i="2"/>
  <c r="Z17" i="2" s="1"/>
  <c r="CT18" i="2"/>
  <c r="Z18" i="2" s="1"/>
  <c r="CT19" i="2"/>
  <c r="Z19" i="2" s="1"/>
  <c r="CT20" i="2"/>
  <c r="Z20" i="2" s="1"/>
  <c r="CT21" i="2"/>
  <c r="Z21" i="2" s="1"/>
  <c r="CT24" i="2"/>
  <c r="Z24" i="2" s="1"/>
  <c r="CT25" i="2"/>
  <c r="Z25" i="2" s="1"/>
  <c r="CT26" i="2"/>
  <c r="Z26" i="2" s="1"/>
  <c r="CT27" i="2"/>
  <c r="Z27" i="2" s="1"/>
  <c r="CT28" i="2"/>
  <c r="CT29" i="2"/>
  <c r="Z29" i="2" s="1"/>
  <c r="CT23" i="2"/>
  <c r="Z23" i="2" s="1"/>
  <c r="CT13" i="2"/>
  <c r="Z13" i="2" s="1"/>
  <c r="Q5" i="3"/>
  <c r="Q9" i="3"/>
  <c r="N5" i="3"/>
  <c r="O5" i="3" s="1"/>
  <c r="P5" i="3" s="1"/>
  <c r="N9" i="3"/>
  <c r="O9" i="3" s="1"/>
  <c r="P9" i="3" s="1"/>
  <c r="T8" i="3"/>
  <c r="BQ8" i="3"/>
  <c r="Q8" i="3" s="1"/>
  <c r="BD8" i="3"/>
  <c r="N8" i="3" s="1"/>
  <c r="O8" i="3" s="1"/>
  <c r="P8" i="3" s="1"/>
  <c r="T7" i="3"/>
  <c r="BQ7" i="3"/>
  <c r="Q7" i="3" s="1"/>
  <c r="BD7" i="3"/>
  <c r="N7" i="3" s="1"/>
  <c r="O7" i="3" s="1"/>
  <c r="P7" i="3" s="1"/>
  <c r="T6" i="3"/>
  <c r="BP6" i="3"/>
  <c r="BO6" i="3"/>
  <c r="BL6" i="3"/>
  <c r="BI6" i="3"/>
  <c r="BD6" i="3"/>
  <c r="N6" i="3" s="1"/>
  <c r="O6" i="3" s="1"/>
  <c r="P6" i="3" s="1"/>
  <c r="V14" i="2"/>
  <c r="R29" i="2"/>
  <c r="N29" i="2"/>
  <c r="O29" i="2" s="1"/>
  <c r="CC5" i="3"/>
  <c r="Y22" i="3" l="1"/>
  <c r="Z22" i="3"/>
  <c r="AB22" i="3" s="1"/>
  <c r="AC22" i="3" s="1"/>
  <c r="Z32" i="3"/>
  <c r="AB32" i="3" s="1"/>
  <c r="AC32" i="3" s="1"/>
  <c r="Y32" i="3"/>
  <c r="Z31" i="3"/>
  <c r="AB31" i="3" s="1"/>
  <c r="AC31" i="3" s="1"/>
  <c r="Y31" i="3"/>
  <c r="Y23" i="3"/>
  <c r="Z23" i="3"/>
  <c r="AB23" i="3" s="1"/>
  <c r="AC23" i="3" s="1"/>
  <c r="Y30" i="3"/>
  <c r="Z30" i="3"/>
  <c r="AB30" i="3" s="1"/>
  <c r="AC30" i="3" s="1"/>
  <c r="Y29" i="3"/>
  <c r="Z29" i="3"/>
  <c r="AB29" i="3" s="1"/>
  <c r="AC29" i="3" s="1"/>
  <c r="Y28" i="3"/>
  <c r="Z28" i="3"/>
  <c r="AB28" i="3" s="1"/>
  <c r="AC28" i="3" s="1"/>
  <c r="Y35" i="3"/>
  <c r="Z35" i="3"/>
  <c r="AB35" i="3" s="1"/>
  <c r="AC35" i="3" s="1"/>
  <c r="Y27" i="3"/>
  <c r="Z27" i="3"/>
  <c r="AB27" i="3" s="1"/>
  <c r="AC27" i="3" s="1"/>
  <c r="Z24" i="3"/>
  <c r="AB24" i="3" s="1"/>
  <c r="AC24" i="3" s="1"/>
  <c r="Y24" i="3"/>
  <c r="Y26" i="3"/>
  <c r="Z26" i="3"/>
  <c r="AB26" i="3" s="1"/>
  <c r="AC26" i="3" s="1"/>
  <c r="Z4" i="3"/>
  <c r="AB4" i="3" s="1"/>
  <c r="Y4" i="3"/>
  <c r="Y34" i="3"/>
  <c r="Z34" i="3"/>
  <c r="AB34" i="3" s="1"/>
  <c r="AC34" i="3" s="1"/>
  <c r="Y33" i="3"/>
  <c r="Z33" i="3"/>
  <c r="AB33" i="3" s="1"/>
  <c r="AC33" i="3" s="1"/>
  <c r="Y25" i="3"/>
  <c r="Z25" i="3"/>
  <c r="AB25" i="3" s="1"/>
  <c r="AC25" i="3" s="1"/>
  <c r="AB30" i="2"/>
  <c r="AF30" i="2"/>
  <c r="AC30" i="2"/>
  <c r="AE30" i="2" s="1"/>
  <c r="CD5" i="3"/>
  <c r="T5" i="3" s="1"/>
  <c r="R5" i="3"/>
  <c r="S5" i="3" s="1"/>
  <c r="R9" i="3"/>
  <c r="S9" i="3" s="1"/>
  <c r="R8" i="3"/>
  <c r="S8" i="3" s="1"/>
  <c r="U8" i="3" s="1"/>
  <c r="V8" i="3" s="1"/>
  <c r="X8" i="3" s="1"/>
  <c r="R7" i="3"/>
  <c r="S7" i="3" s="1"/>
  <c r="U7" i="3" s="1"/>
  <c r="V7" i="3" s="1"/>
  <c r="X7" i="3" s="1"/>
  <c r="BQ6" i="3"/>
  <c r="Q6" i="3" s="1"/>
  <c r="R6" i="3" s="1"/>
  <c r="S6" i="3" s="1"/>
  <c r="U6" i="3" s="1"/>
  <c r="V6" i="3" s="1"/>
  <c r="X6" i="3" s="1"/>
  <c r="P29" i="2"/>
  <c r="Q29" i="2"/>
  <c r="S29" i="2" s="1"/>
  <c r="BQ4" i="3"/>
  <c r="Q4" i="3" s="1"/>
  <c r="CC18" i="3"/>
  <c r="CA18" i="3"/>
  <c r="BT18" i="3"/>
  <c r="BT17" i="3"/>
  <c r="CD17" i="3" s="1"/>
  <c r="BT15" i="3"/>
  <c r="CD15" i="3" s="1"/>
  <c r="BU14" i="3"/>
  <c r="CD14" i="3" s="1"/>
  <c r="CC12" i="3"/>
  <c r="CA12" i="3"/>
  <c r="BT12" i="3"/>
  <c r="AC4" i="3" l="1"/>
  <c r="AD4" i="3"/>
  <c r="AF4" i="3" s="1"/>
  <c r="AG4" i="3" s="1"/>
  <c r="Y6" i="3"/>
  <c r="Z6" i="3"/>
  <c r="AB6" i="3" s="1"/>
  <c r="AC6" i="3" s="1"/>
  <c r="Y8" i="3"/>
  <c r="Z8" i="3"/>
  <c r="AB8" i="3" s="1"/>
  <c r="AC8" i="3" s="1"/>
  <c r="Y7" i="3"/>
  <c r="Z7" i="3"/>
  <c r="AB7" i="3" s="1"/>
  <c r="AC7" i="3" s="1"/>
  <c r="U5" i="3"/>
  <c r="V5" i="3" s="1"/>
  <c r="X5" i="3" s="1"/>
  <c r="CD12" i="3"/>
  <c r="CD18" i="3"/>
  <c r="V14" i="1"/>
  <c r="X14" i="1" s="1"/>
  <c r="U29" i="2"/>
  <c r="T29" i="2"/>
  <c r="V18" i="2"/>
  <c r="V17" i="2"/>
  <c r="Z14" i="1" l="1"/>
  <c r="W14" i="1"/>
  <c r="Z5" i="3"/>
  <c r="AB5" i="3" s="1"/>
  <c r="AC5" i="3" s="1"/>
  <c r="Y5" i="3"/>
  <c r="T9" i="3"/>
  <c r="U9" i="3" s="1"/>
  <c r="V9" i="3" s="1"/>
  <c r="X9" i="3" s="1"/>
  <c r="AA14" i="1" l="1"/>
  <c r="AB14" i="1"/>
  <c r="AD14" i="1" s="1"/>
  <c r="AE14" i="1" s="1"/>
  <c r="Y9" i="3"/>
  <c r="Z9" i="3"/>
  <c r="AB9" i="3" s="1"/>
  <c r="AC9" i="3" s="1"/>
  <c r="BY23" i="1" l="1"/>
  <c r="BX23" i="1"/>
  <c r="BU24" i="1"/>
  <c r="CB17" i="1" l="1"/>
  <c r="BU18" i="1" l="1"/>
  <c r="BU31" i="1"/>
  <c r="CF18" i="1" l="1"/>
  <c r="U18" i="1" s="1"/>
  <c r="CF6" i="1"/>
  <c r="U6" i="1" s="1"/>
  <c r="CF7" i="1"/>
  <c r="U7" i="1" s="1"/>
  <c r="CF8" i="1"/>
  <c r="U8" i="1" s="1"/>
  <c r="CF10" i="1"/>
  <c r="U10" i="1" s="1"/>
  <c r="CF12" i="1"/>
  <c r="U12" i="1" s="1"/>
  <c r="CF13" i="1"/>
  <c r="U13" i="1" s="1"/>
  <c r="CF15" i="1"/>
  <c r="U15" i="1" s="1"/>
  <c r="CF16" i="1"/>
  <c r="U16" i="1" s="1"/>
  <c r="CF19" i="1"/>
  <c r="U19" i="1" s="1"/>
  <c r="CF21" i="1"/>
  <c r="U21" i="1" s="1"/>
  <c r="CF23" i="1"/>
  <c r="U23" i="1" s="1"/>
  <c r="CF24" i="1"/>
  <c r="U24" i="1" s="1"/>
  <c r="CF25" i="1"/>
  <c r="U25" i="1" s="1"/>
  <c r="CF26" i="1"/>
  <c r="U26" i="1" s="1"/>
  <c r="CF28" i="1"/>
  <c r="U28" i="1" s="1"/>
  <c r="CF31" i="1"/>
  <c r="U31" i="1" s="1"/>
  <c r="CF32" i="1"/>
  <c r="U32" i="1" s="1"/>
  <c r="CF33" i="1"/>
  <c r="U33" i="1" s="1"/>
  <c r="CF35" i="1"/>
  <c r="U35" i="1" s="1"/>
  <c r="CF36" i="1"/>
  <c r="U36" i="1" s="1"/>
  <c r="CF40" i="1"/>
  <c r="CF17" i="1"/>
  <c r="U17" i="1" s="1"/>
  <c r="U40" i="1" l="1"/>
  <c r="V40" i="1" s="1"/>
  <c r="X40" i="1" s="1"/>
  <c r="Z40" i="1" s="1"/>
  <c r="V4" i="2"/>
  <c r="V27" i="2"/>
  <c r="V25" i="2"/>
  <c r="V23" i="2"/>
  <c r="V22" i="2"/>
  <c r="V21" i="2"/>
  <c r="V15" i="2"/>
  <c r="V19" i="2"/>
  <c r="V13" i="2"/>
  <c r="V12" i="2"/>
  <c r="V11" i="2"/>
  <c r="V8" i="2"/>
  <c r="V29" i="2"/>
  <c r="W29" i="2" s="1"/>
  <c r="Y29" i="2" s="1"/>
  <c r="AA29" i="2" s="1"/>
  <c r="BE193" i="4"/>
  <c r="AR193" i="4"/>
  <c r="BR191" i="4"/>
  <c r="S191" i="4" s="1"/>
  <c r="BE191" i="4"/>
  <c r="P191" i="4" s="1"/>
  <c r="AR191" i="4"/>
  <c r="M191" i="4" s="1"/>
  <c r="AR190" i="4"/>
  <c r="M190" i="4" s="1"/>
  <c r="S190" i="4"/>
  <c r="P190" i="4"/>
  <c r="AR189" i="4"/>
  <c r="M189" i="4" s="1"/>
  <c r="S189" i="4"/>
  <c r="P189" i="4"/>
  <c r="AR188" i="4"/>
  <c r="M188" i="4" s="1"/>
  <c r="S188" i="4"/>
  <c r="P188" i="4"/>
  <c r="AR187" i="4"/>
  <c r="M187" i="4" s="1"/>
  <c r="S187" i="4"/>
  <c r="P187" i="4"/>
  <c r="AR186" i="4"/>
  <c r="M186" i="4" s="1"/>
  <c r="S186" i="4"/>
  <c r="P186" i="4"/>
  <c r="AR185" i="4"/>
  <c r="M185" i="4" s="1"/>
  <c r="S185" i="4"/>
  <c r="P185" i="4"/>
  <c r="AR184" i="4"/>
  <c r="M184" i="4" s="1"/>
  <c r="S184" i="4"/>
  <c r="P184" i="4"/>
  <c r="AR183" i="4"/>
  <c r="M183" i="4" s="1"/>
  <c r="S183" i="4"/>
  <c r="P183" i="4"/>
  <c r="AR182" i="4"/>
  <c r="M182" i="4" s="1"/>
  <c r="S182" i="4"/>
  <c r="P182" i="4"/>
  <c r="AR181" i="4"/>
  <c r="M181" i="4" s="1"/>
  <c r="S181" i="4"/>
  <c r="P181" i="4"/>
  <c r="AR180" i="4"/>
  <c r="M180" i="4" s="1"/>
  <c r="S180" i="4"/>
  <c r="P180" i="4"/>
  <c r="AR179" i="4"/>
  <c r="M179" i="4" s="1"/>
  <c r="S179" i="4"/>
  <c r="P179" i="4"/>
  <c r="AR178" i="4"/>
  <c r="M178" i="4" s="1"/>
  <c r="S178" i="4"/>
  <c r="P178" i="4"/>
  <c r="AR177" i="4"/>
  <c r="M177" i="4" s="1"/>
  <c r="S177" i="4"/>
  <c r="P177" i="4"/>
  <c r="AR176" i="4"/>
  <c r="M176" i="4" s="1"/>
  <c r="S176" i="4"/>
  <c r="P176" i="4"/>
  <c r="AR175" i="4"/>
  <c r="M175" i="4" s="1"/>
  <c r="S175" i="4"/>
  <c r="P175" i="4"/>
  <c r="AR174" i="4"/>
  <c r="M174" i="4" s="1"/>
  <c r="S174" i="4"/>
  <c r="P174" i="4"/>
  <c r="AR173" i="4"/>
  <c r="M173" i="4" s="1"/>
  <c r="S173" i="4"/>
  <c r="P173" i="4"/>
  <c r="AR172" i="4"/>
  <c r="M172" i="4" s="1"/>
  <c r="S172" i="4"/>
  <c r="P172" i="4"/>
  <c r="AR171" i="4"/>
  <c r="M171" i="4" s="1"/>
  <c r="S171" i="4"/>
  <c r="P171" i="4"/>
  <c r="AR170" i="4"/>
  <c r="M170" i="4" s="1"/>
  <c r="S170" i="4"/>
  <c r="P170" i="4"/>
  <c r="AR169" i="4"/>
  <c r="M169" i="4" s="1"/>
  <c r="S169" i="4"/>
  <c r="P169" i="4"/>
  <c r="AR168" i="4"/>
  <c r="M168" i="4" s="1"/>
  <c r="S168" i="4"/>
  <c r="P168" i="4"/>
  <c r="AR167" i="4"/>
  <c r="M167" i="4" s="1"/>
  <c r="S167" i="4"/>
  <c r="P167" i="4"/>
  <c r="AR166" i="4"/>
  <c r="M166" i="4" s="1"/>
  <c r="S166" i="4"/>
  <c r="P166" i="4"/>
  <c r="AR165" i="4"/>
  <c r="M165" i="4" s="1"/>
  <c r="S165" i="4"/>
  <c r="P165" i="4"/>
  <c r="AR164" i="4"/>
  <c r="M164" i="4" s="1"/>
  <c r="S164" i="4"/>
  <c r="P164" i="4"/>
  <c r="AR163" i="4"/>
  <c r="M163" i="4" s="1"/>
  <c r="S163" i="4"/>
  <c r="P163" i="4"/>
  <c r="AR162" i="4"/>
  <c r="M162" i="4" s="1"/>
  <c r="S162" i="4"/>
  <c r="P162" i="4"/>
  <c r="AP161" i="4"/>
  <c r="AN161" i="4"/>
  <c r="AM161" i="4"/>
  <c r="AH161" i="4"/>
  <c r="S161" i="4"/>
  <c r="P161" i="4"/>
  <c r="AR160" i="4"/>
  <c r="M160" i="4" s="1"/>
  <c r="S160" i="4"/>
  <c r="P160" i="4"/>
  <c r="AR159" i="4"/>
  <c r="M159" i="4" s="1"/>
  <c r="S159" i="4"/>
  <c r="P159" i="4"/>
  <c r="AL158" i="4"/>
  <c r="AG158" i="4"/>
  <c r="S158" i="4"/>
  <c r="P158" i="4"/>
  <c r="AR157" i="4"/>
  <c r="M157" i="4" s="1"/>
  <c r="S157" i="4"/>
  <c r="P157" i="4"/>
  <c r="AK156" i="4"/>
  <c r="AJ156" i="4"/>
  <c r="S156" i="4"/>
  <c r="P156" i="4"/>
  <c r="AR155" i="4"/>
  <c r="M155" i="4" s="1"/>
  <c r="S155" i="4"/>
  <c r="P155" i="4"/>
  <c r="AR154" i="4"/>
  <c r="M154" i="4" s="1"/>
  <c r="S154" i="4"/>
  <c r="P154" i="4"/>
  <c r="AR153" i="4"/>
  <c r="M153" i="4" s="1"/>
  <c r="S153" i="4"/>
  <c r="P153" i="4"/>
  <c r="AQ152" i="4"/>
  <c r="AR152" i="4" s="1"/>
  <c r="M152" i="4" s="1"/>
  <c r="S152" i="4"/>
  <c r="P152" i="4"/>
  <c r="AR151" i="4"/>
  <c r="M151" i="4" s="1"/>
  <c r="S151" i="4"/>
  <c r="P151" i="4"/>
  <c r="AR150" i="4"/>
  <c r="M150" i="4" s="1"/>
  <c r="S150" i="4"/>
  <c r="P150" i="4"/>
  <c r="AR149" i="4"/>
  <c r="M149" i="4" s="1"/>
  <c r="S149" i="4"/>
  <c r="P149" i="4"/>
  <c r="AR148" i="4"/>
  <c r="M148" i="4" s="1"/>
  <c r="S148" i="4"/>
  <c r="P148" i="4"/>
  <c r="AR147" i="4"/>
  <c r="M147" i="4" s="1"/>
  <c r="S147" i="4"/>
  <c r="P147" i="4"/>
  <c r="AR146" i="4"/>
  <c r="M146" i="4" s="1"/>
  <c r="S146" i="4"/>
  <c r="P146" i="4"/>
  <c r="AQ145" i="4"/>
  <c r="AN145" i="4"/>
  <c r="AM145" i="4"/>
  <c r="AL145" i="4"/>
  <c r="AK145" i="4"/>
  <c r="AJ145" i="4"/>
  <c r="AI145" i="4"/>
  <c r="AH145" i="4"/>
  <c r="AG145" i="4"/>
  <c r="AF145" i="4"/>
  <c r="S145" i="4"/>
  <c r="P145" i="4"/>
  <c r="AR144" i="4"/>
  <c r="M144" i="4" s="1"/>
  <c r="S144" i="4"/>
  <c r="P144" i="4"/>
  <c r="AR143" i="4"/>
  <c r="M143" i="4" s="1"/>
  <c r="S143" i="4"/>
  <c r="P143" i="4"/>
  <c r="AR142" i="4"/>
  <c r="M142" i="4" s="1"/>
  <c r="S142" i="4"/>
  <c r="P142" i="4"/>
  <c r="AR141" i="4"/>
  <c r="M141" i="4" s="1"/>
  <c r="S141" i="4"/>
  <c r="P141" i="4"/>
  <c r="AR140" i="4"/>
  <c r="M140" i="4" s="1"/>
  <c r="S140" i="4"/>
  <c r="P140" i="4"/>
  <c r="AR139" i="4"/>
  <c r="M139" i="4" s="1"/>
  <c r="S139" i="4"/>
  <c r="P139" i="4"/>
  <c r="AR138" i="4"/>
  <c r="M138" i="4" s="1"/>
  <c r="S138" i="4"/>
  <c r="P138" i="4"/>
  <c r="AR137" i="4"/>
  <c r="M137" i="4" s="1"/>
  <c r="S137" i="4"/>
  <c r="P137" i="4"/>
  <c r="S136" i="4"/>
  <c r="P136" i="4"/>
  <c r="M136" i="4"/>
  <c r="S135" i="4"/>
  <c r="P135" i="4"/>
  <c r="M135" i="4"/>
  <c r="S134" i="4"/>
  <c r="P134" i="4"/>
  <c r="M134" i="4"/>
  <c r="S133" i="4"/>
  <c r="P133" i="4"/>
  <c r="M133" i="4"/>
  <c r="S132" i="4"/>
  <c r="P132" i="4"/>
  <c r="M132" i="4"/>
  <c r="S131" i="4"/>
  <c r="P131" i="4"/>
  <c r="M131" i="4"/>
  <c r="S130" i="4"/>
  <c r="P130" i="4"/>
  <c r="M130" i="4"/>
  <c r="AR129" i="4"/>
  <c r="M129" i="4" s="1"/>
  <c r="S129" i="4"/>
  <c r="P129" i="4"/>
  <c r="S128" i="4"/>
  <c r="P128" i="4"/>
  <c r="M128" i="4"/>
  <c r="AM127" i="4"/>
  <c r="AH127" i="4"/>
  <c r="AG127" i="4"/>
  <c r="S127" i="4"/>
  <c r="P127" i="4"/>
  <c r="S126" i="4"/>
  <c r="P126" i="4"/>
  <c r="M126" i="4"/>
  <c r="S125" i="4"/>
  <c r="P125" i="4"/>
  <c r="M125" i="4"/>
  <c r="S124" i="4"/>
  <c r="P124" i="4"/>
  <c r="M124" i="4"/>
  <c r="S123" i="4"/>
  <c r="P123" i="4"/>
  <c r="M123" i="4"/>
  <c r="S122" i="4"/>
  <c r="P122" i="4"/>
  <c r="M122" i="4"/>
  <c r="S121" i="4"/>
  <c r="P121" i="4"/>
  <c r="M121" i="4"/>
  <c r="S120" i="4"/>
  <c r="P120" i="4"/>
  <c r="M120" i="4"/>
  <c r="S119" i="4"/>
  <c r="P119" i="4"/>
  <c r="M119" i="4"/>
  <c r="S118" i="4"/>
  <c r="P118" i="4"/>
  <c r="M118" i="4"/>
  <c r="S116" i="4"/>
  <c r="P116" i="4"/>
  <c r="M116" i="4"/>
  <c r="S115" i="4"/>
  <c r="P115" i="4"/>
  <c r="M115" i="4"/>
  <c r="S114" i="4"/>
  <c r="P114" i="4"/>
  <c r="M114" i="4"/>
  <c r="S113" i="4"/>
  <c r="P113" i="4"/>
  <c r="M113" i="4"/>
  <c r="S112" i="4"/>
  <c r="P112" i="4"/>
  <c r="M112" i="4"/>
  <c r="S111" i="4"/>
  <c r="P111" i="4"/>
  <c r="M111" i="4"/>
  <c r="S110" i="4"/>
  <c r="P110" i="4"/>
  <c r="M110" i="4"/>
  <c r="S109" i="4"/>
  <c r="P109" i="4"/>
  <c r="M109" i="4"/>
  <c r="S108" i="4"/>
  <c r="P108" i="4"/>
  <c r="M108" i="4"/>
  <c r="S107" i="4"/>
  <c r="P107" i="4"/>
  <c r="M107" i="4"/>
  <c r="S106" i="4"/>
  <c r="P106" i="4"/>
  <c r="M106" i="4"/>
  <c r="S105" i="4"/>
  <c r="P105" i="4"/>
  <c r="M105" i="4"/>
  <c r="S104" i="4"/>
  <c r="P104" i="4"/>
  <c r="M104" i="4"/>
  <c r="S103" i="4"/>
  <c r="P103" i="4"/>
  <c r="M103" i="4"/>
  <c r="S102" i="4"/>
  <c r="P102" i="4"/>
  <c r="M102" i="4"/>
  <c r="S101" i="4"/>
  <c r="P101" i="4"/>
  <c r="M101" i="4"/>
  <c r="S100" i="4"/>
  <c r="P100" i="4"/>
  <c r="M100" i="4"/>
  <c r="S99" i="4"/>
  <c r="P99" i="4"/>
  <c r="M99" i="4"/>
  <c r="S98" i="4"/>
  <c r="P98" i="4"/>
  <c r="M98" i="4"/>
  <c r="S97" i="4"/>
  <c r="P97" i="4"/>
  <c r="M97" i="4"/>
  <c r="S96" i="4"/>
  <c r="P96" i="4"/>
  <c r="M96" i="4"/>
  <c r="S95" i="4"/>
  <c r="P95" i="4"/>
  <c r="M95" i="4"/>
  <c r="S94" i="4"/>
  <c r="P94" i="4"/>
  <c r="M94" i="4"/>
  <c r="S93" i="4"/>
  <c r="P93" i="4"/>
  <c r="M93" i="4"/>
  <c r="S92" i="4"/>
  <c r="P92" i="4"/>
  <c r="M92" i="4"/>
  <c r="S91" i="4"/>
  <c r="P91" i="4"/>
  <c r="M91" i="4"/>
  <c r="S90" i="4"/>
  <c r="P90" i="4"/>
  <c r="M90" i="4"/>
  <c r="S89" i="4"/>
  <c r="P89" i="4"/>
  <c r="M89" i="4"/>
  <c r="S88" i="4"/>
  <c r="P88" i="4"/>
  <c r="M88" i="4"/>
  <c r="S87" i="4"/>
  <c r="P87" i="4"/>
  <c r="M87" i="4"/>
  <c r="S86" i="4"/>
  <c r="P86" i="4"/>
  <c r="M86" i="4"/>
  <c r="S85" i="4"/>
  <c r="P85" i="4"/>
  <c r="M85" i="4"/>
  <c r="S84" i="4"/>
  <c r="P84" i="4"/>
  <c r="M84" i="4"/>
  <c r="S83" i="4"/>
  <c r="P83" i="4"/>
  <c r="M83" i="4"/>
  <c r="S82" i="4"/>
  <c r="P82" i="4"/>
  <c r="M82" i="4"/>
  <c r="S81" i="4"/>
  <c r="P81" i="4"/>
  <c r="M81" i="4"/>
  <c r="S80" i="4"/>
  <c r="P80" i="4"/>
  <c r="M80" i="4"/>
  <c r="S79" i="4"/>
  <c r="P79" i="4"/>
  <c r="M79" i="4"/>
  <c r="S78" i="4"/>
  <c r="P78" i="4"/>
  <c r="M78" i="4"/>
  <c r="S77" i="4"/>
  <c r="P77" i="4"/>
  <c r="M77" i="4"/>
  <c r="S76" i="4"/>
  <c r="P76" i="4"/>
  <c r="M76" i="4"/>
  <c r="S75" i="4"/>
  <c r="P75" i="4"/>
  <c r="M75" i="4"/>
  <c r="S74" i="4"/>
  <c r="P74" i="4"/>
  <c r="M74" i="4"/>
  <c r="S73" i="4"/>
  <c r="P73" i="4"/>
  <c r="M73" i="4"/>
  <c r="S72" i="4"/>
  <c r="P72" i="4"/>
  <c r="M72" i="4"/>
  <c r="S71" i="4"/>
  <c r="P71" i="4"/>
  <c r="M71" i="4"/>
  <c r="S70" i="4"/>
  <c r="P70" i="4"/>
  <c r="M70" i="4"/>
  <c r="S69" i="4"/>
  <c r="P69" i="4"/>
  <c r="M69" i="4"/>
  <c r="S68" i="4"/>
  <c r="P68" i="4"/>
  <c r="M68" i="4"/>
  <c r="S67" i="4"/>
  <c r="P67" i="4"/>
  <c r="M67" i="4"/>
  <c r="S66" i="4"/>
  <c r="P66" i="4"/>
  <c r="M66" i="4"/>
  <c r="AP65" i="4"/>
  <c r="AR65" i="4" s="1"/>
  <c r="M65" i="4" s="1"/>
  <c r="S65" i="4"/>
  <c r="P65" i="4"/>
  <c r="S64" i="4"/>
  <c r="P64" i="4"/>
  <c r="M64" i="4"/>
  <c r="S63" i="4"/>
  <c r="P63" i="4"/>
  <c r="M63" i="4"/>
  <c r="S62" i="4"/>
  <c r="P62" i="4"/>
  <c r="M62" i="4"/>
  <c r="S61" i="4"/>
  <c r="P61" i="4"/>
  <c r="M61" i="4"/>
  <c r="S60" i="4"/>
  <c r="P60" i="4"/>
  <c r="M60" i="4"/>
  <c r="S59" i="4"/>
  <c r="P59" i="4"/>
  <c r="M59" i="4"/>
  <c r="S58" i="4"/>
  <c r="P58" i="4"/>
  <c r="M58" i="4"/>
  <c r="S57" i="4"/>
  <c r="P57" i="4"/>
  <c r="M57" i="4"/>
  <c r="S56" i="4"/>
  <c r="P56" i="4"/>
  <c r="M56" i="4"/>
  <c r="S55" i="4"/>
  <c r="P55" i="4"/>
  <c r="M55" i="4"/>
  <c r="S54" i="4"/>
  <c r="P54" i="4"/>
  <c r="M54" i="4"/>
  <c r="S53" i="4"/>
  <c r="P53" i="4"/>
  <c r="M53" i="4"/>
  <c r="S52" i="4"/>
  <c r="P52" i="4"/>
  <c r="M52" i="4"/>
  <c r="S51" i="4"/>
  <c r="P51" i="4"/>
  <c r="M51" i="4"/>
  <c r="S50" i="4"/>
  <c r="P50" i="4"/>
  <c r="M50" i="4"/>
  <c r="S49" i="4"/>
  <c r="P49" i="4"/>
  <c r="M49" i="4"/>
  <c r="S48" i="4"/>
  <c r="P48" i="4"/>
  <c r="M48" i="4"/>
  <c r="AR47" i="4"/>
  <c r="M47" i="4" s="1"/>
  <c r="S47" i="4"/>
  <c r="P47" i="4"/>
  <c r="S46" i="4"/>
  <c r="P46" i="4"/>
  <c r="M46" i="4"/>
  <c r="S45" i="4"/>
  <c r="P45" i="4"/>
  <c r="M45" i="4"/>
  <c r="S44" i="4"/>
  <c r="P44" i="4"/>
  <c r="M44" i="4"/>
  <c r="S43" i="4"/>
  <c r="P43" i="4"/>
  <c r="M43" i="4"/>
  <c r="S42" i="4"/>
  <c r="P42" i="4"/>
  <c r="M42" i="4"/>
  <c r="S41" i="4"/>
  <c r="P41" i="4"/>
  <c r="M41" i="4"/>
  <c r="S40" i="4"/>
  <c r="P40" i="4"/>
  <c r="M40" i="4"/>
  <c r="S39" i="4"/>
  <c r="P39" i="4"/>
  <c r="M39" i="4"/>
  <c r="S38" i="4"/>
  <c r="P38" i="4"/>
  <c r="M38" i="4"/>
  <c r="S37" i="4"/>
  <c r="P37" i="4"/>
  <c r="M37" i="4"/>
  <c r="S36" i="4"/>
  <c r="P36" i="4"/>
  <c r="M36" i="4"/>
  <c r="S35" i="4"/>
  <c r="P35" i="4"/>
  <c r="M35" i="4"/>
  <c r="S34" i="4"/>
  <c r="P34" i="4"/>
  <c r="M34" i="4"/>
  <c r="S33" i="4"/>
  <c r="P33" i="4"/>
  <c r="M33" i="4"/>
  <c r="S32" i="4"/>
  <c r="P32" i="4"/>
  <c r="M32" i="4"/>
  <c r="S31" i="4"/>
  <c r="P31" i="4"/>
  <c r="M31" i="4"/>
  <c r="S30" i="4"/>
  <c r="P30" i="4"/>
  <c r="M30" i="4"/>
  <c r="S29" i="4"/>
  <c r="P29" i="4"/>
  <c r="M29" i="4"/>
  <c r="S28" i="4"/>
  <c r="P28" i="4"/>
  <c r="M28" i="4"/>
  <c r="AM27" i="4"/>
  <c r="AR27" i="4" s="1"/>
  <c r="M27" i="4" s="1"/>
  <c r="S27" i="4"/>
  <c r="P27" i="4"/>
  <c r="S26" i="4"/>
  <c r="P26" i="4"/>
  <c r="M26" i="4"/>
  <c r="S25" i="4"/>
  <c r="P25" i="4"/>
  <c r="M25" i="4"/>
  <c r="S24" i="4"/>
  <c r="P24" i="4"/>
  <c r="M24" i="4"/>
  <c r="S23" i="4"/>
  <c r="P23" i="4"/>
  <c r="M23" i="4"/>
  <c r="S22" i="4"/>
  <c r="P22" i="4"/>
  <c r="M22" i="4"/>
  <c r="S21" i="4"/>
  <c r="P21" i="4"/>
  <c r="M21" i="4"/>
  <c r="S20" i="4"/>
  <c r="P20" i="4"/>
  <c r="M20" i="4"/>
  <c r="S19" i="4"/>
  <c r="P19" i="4"/>
  <c r="M19" i="4"/>
  <c r="S18" i="4"/>
  <c r="P18" i="4"/>
  <c r="M18" i="4"/>
  <c r="S17" i="4"/>
  <c r="P17" i="4"/>
  <c r="M17" i="4"/>
  <c r="S16" i="4"/>
  <c r="P16" i="4"/>
  <c r="M16" i="4"/>
  <c r="S14" i="4"/>
  <c r="P14" i="4"/>
  <c r="M14" i="4"/>
  <c r="AG13" i="4"/>
  <c r="AR13" i="4" s="1"/>
  <c r="M13" i="4" s="1"/>
  <c r="S13" i="4"/>
  <c r="P13" i="4"/>
  <c r="S12" i="4"/>
  <c r="P12" i="4"/>
  <c r="M12" i="4"/>
  <c r="S11" i="4"/>
  <c r="P11" i="4"/>
  <c r="M11" i="4"/>
  <c r="S10" i="4"/>
  <c r="P10" i="4"/>
  <c r="M10" i="4"/>
  <c r="S9" i="4"/>
  <c r="P9" i="4"/>
  <c r="M9" i="4"/>
  <c r="S8" i="4"/>
  <c r="P8" i="4"/>
  <c r="M8" i="4"/>
  <c r="S7" i="4"/>
  <c r="P7" i="4"/>
  <c r="M7" i="4"/>
  <c r="S6" i="4"/>
  <c r="P6" i="4"/>
  <c r="M6" i="4"/>
  <c r="S5" i="4"/>
  <c r="P5" i="4"/>
  <c r="M5" i="4"/>
  <c r="S4" i="4"/>
  <c r="P4" i="4"/>
  <c r="M4" i="4"/>
  <c r="S3" i="4"/>
  <c r="P3" i="4"/>
  <c r="M3" i="4"/>
  <c r="T20" i="3"/>
  <c r="BQ20" i="3"/>
  <c r="Q20" i="3" s="1"/>
  <c r="BD20" i="3"/>
  <c r="N20" i="3" s="1"/>
  <c r="O20" i="3" s="1"/>
  <c r="P20" i="3" s="1"/>
  <c r="T19" i="3"/>
  <c r="BQ19" i="3"/>
  <c r="Q19" i="3" s="1"/>
  <c r="BD19" i="3"/>
  <c r="N19" i="3" s="1"/>
  <c r="O19" i="3" s="1"/>
  <c r="P19" i="3" s="1"/>
  <c r="T18" i="3"/>
  <c r="BQ18" i="3"/>
  <c r="Q18" i="3" s="1"/>
  <c r="BD18" i="3"/>
  <c r="N18" i="3" s="1"/>
  <c r="O18" i="3" s="1"/>
  <c r="P18" i="3" s="1"/>
  <c r="T17" i="3"/>
  <c r="BQ17" i="3"/>
  <c r="Q17" i="3" s="1"/>
  <c r="BD17" i="3"/>
  <c r="N17" i="3" s="1"/>
  <c r="O17" i="3" s="1"/>
  <c r="P17" i="3" s="1"/>
  <c r="T16" i="3"/>
  <c r="BQ16" i="3"/>
  <c r="Q16" i="3" s="1"/>
  <c r="BD16" i="3"/>
  <c r="N16" i="3" s="1"/>
  <c r="O16" i="3" s="1"/>
  <c r="P16" i="3" s="1"/>
  <c r="T15" i="3"/>
  <c r="BQ15" i="3"/>
  <c r="Q15" i="3" s="1"/>
  <c r="BD15" i="3"/>
  <c r="N15" i="3" s="1"/>
  <c r="O15" i="3" s="1"/>
  <c r="P15" i="3" s="1"/>
  <c r="T14" i="3"/>
  <c r="BQ14" i="3"/>
  <c r="Q14" i="3" s="1"/>
  <c r="BD14" i="3"/>
  <c r="N14" i="3" s="1"/>
  <c r="O14" i="3" s="1"/>
  <c r="P14" i="3" s="1"/>
  <c r="T13" i="3"/>
  <c r="BQ13" i="3"/>
  <c r="Q13" i="3" s="1"/>
  <c r="BD13" i="3"/>
  <c r="T12" i="3"/>
  <c r="BQ12" i="3"/>
  <c r="Q12" i="3" s="1"/>
  <c r="BD12" i="3"/>
  <c r="T11" i="3"/>
  <c r="BQ11" i="3"/>
  <c r="Q11" i="3" s="1"/>
  <c r="BD11" i="3"/>
  <c r="N11" i="3" s="1"/>
  <c r="O11" i="3" s="1"/>
  <c r="P11" i="3" s="1"/>
  <c r="T10" i="3"/>
  <c r="BQ10" i="3"/>
  <c r="Q10" i="3" s="1"/>
  <c r="BD10" i="3"/>
  <c r="N10" i="3" s="1"/>
  <c r="O10" i="3" s="1"/>
  <c r="P10" i="3" s="1"/>
  <c r="T4" i="3"/>
  <c r="AZ4" i="3"/>
  <c r="AY4" i="3"/>
  <c r="AR4" i="3"/>
  <c r="BT27" i="2"/>
  <c r="R27" i="2" s="1"/>
  <c r="BG27" i="2"/>
  <c r="N27" i="2" s="1"/>
  <c r="O27" i="2" s="1"/>
  <c r="V26" i="2"/>
  <c r="BT26" i="2"/>
  <c r="R26" i="2" s="1"/>
  <c r="BG26" i="2"/>
  <c r="N26" i="2" s="1"/>
  <c r="O26" i="2" s="1"/>
  <c r="BT25" i="2"/>
  <c r="R25" i="2" s="1"/>
  <c r="BG25" i="2"/>
  <c r="N25" i="2" s="1"/>
  <c r="O25" i="2" s="1"/>
  <c r="V24" i="2"/>
  <c r="BT24" i="2"/>
  <c r="R24" i="2" s="1"/>
  <c r="BG24" i="2"/>
  <c r="N24" i="2" s="1"/>
  <c r="O24" i="2" s="1"/>
  <c r="BT23" i="2"/>
  <c r="R23" i="2" s="1"/>
  <c r="BG23" i="2"/>
  <c r="N23" i="2" s="1"/>
  <c r="O23" i="2" s="1"/>
  <c r="BT22" i="2"/>
  <c r="R22" i="2" s="1"/>
  <c r="BG22" i="2"/>
  <c r="N22" i="2" s="1"/>
  <c r="O22" i="2" s="1"/>
  <c r="BT21" i="2"/>
  <c r="R21" i="2" s="1"/>
  <c r="BG21" i="2"/>
  <c r="N21" i="2" s="1"/>
  <c r="O21" i="2" s="1"/>
  <c r="V20" i="2"/>
  <c r="BT20" i="2"/>
  <c r="R20" i="2" s="1"/>
  <c r="BG20" i="2"/>
  <c r="N20" i="2" s="1"/>
  <c r="O20" i="2" s="1"/>
  <c r="BT19" i="2"/>
  <c r="R19" i="2" s="1"/>
  <c r="BG19" i="2"/>
  <c r="N19" i="2" s="1"/>
  <c r="O19" i="2" s="1"/>
  <c r="BT18" i="2"/>
  <c r="R18" i="2" s="1"/>
  <c r="BG18" i="2"/>
  <c r="N18" i="2" s="1"/>
  <c r="O18" i="2" s="1"/>
  <c r="BT17" i="2"/>
  <c r="R17" i="2" s="1"/>
  <c r="BG17" i="2"/>
  <c r="N17" i="2" s="1"/>
  <c r="O17" i="2" s="1"/>
  <c r="V16" i="2"/>
  <c r="BT16" i="2"/>
  <c r="R16" i="2" s="1"/>
  <c r="BG16" i="2"/>
  <c r="N16" i="2" s="1"/>
  <c r="O16" i="2" s="1"/>
  <c r="BT15" i="2"/>
  <c r="R15" i="2" s="1"/>
  <c r="BG15" i="2"/>
  <c r="N15" i="2" s="1"/>
  <c r="O15" i="2" s="1"/>
  <c r="BQ14" i="2"/>
  <c r="BT14" i="2" s="1"/>
  <c r="R14" i="2" s="1"/>
  <c r="BG14" i="2"/>
  <c r="N14" i="2" s="1"/>
  <c r="O14" i="2" s="1"/>
  <c r="BT13" i="2"/>
  <c r="R13" i="2" s="1"/>
  <c r="BG13" i="2"/>
  <c r="N13" i="2" s="1"/>
  <c r="O13" i="2" s="1"/>
  <c r="BT12" i="2"/>
  <c r="R12" i="2" s="1"/>
  <c r="BG12" i="2"/>
  <c r="N12" i="2" s="1"/>
  <c r="O12" i="2" s="1"/>
  <c r="BT11" i="2"/>
  <c r="R11" i="2" s="1"/>
  <c r="BG11" i="2"/>
  <c r="N11" i="2" s="1"/>
  <c r="O11" i="2" s="1"/>
  <c r="V10" i="2"/>
  <c r="BT10" i="2"/>
  <c r="R10" i="2" s="1"/>
  <c r="BG10" i="2"/>
  <c r="N10" i="2" s="1"/>
  <c r="O10" i="2" s="1"/>
  <c r="BS8" i="2"/>
  <c r="BT8" i="2" s="1"/>
  <c r="R8" i="2" s="1"/>
  <c r="BG8" i="2"/>
  <c r="N8" i="2" s="1"/>
  <c r="O8" i="2" s="1"/>
  <c r="Q8" i="2" s="1"/>
  <c r="V6" i="2"/>
  <c r="BS6" i="2"/>
  <c r="BR6" i="2"/>
  <c r="BQ6" i="2"/>
  <c r="BP6" i="2"/>
  <c r="BM6" i="2"/>
  <c r="BL6" i="2"/>
  <c r="BG6" i="2"/>
  <c r="N6" i="2" s="1"/>
  <c r="O6" i="2" s="1"/>
  <c r="BK4" i="2"/>
  <c r="BT4" i="2" s="1"/>
  <c r="R4" i="2" s="1"/>
  <c r="BB4" i="2"/>
  <c r="AU4" i="2"/>
  <c r="BS36" i="1"/>
  <c r="Q36" i="1" s="1"/>
  <c r="BF36" i="1"/>
  <c r="M36" i="1" s="1"/>
  <c r="N36" i="1" s="1"/>
  <c r="BS35" i="1"/>
  <c r="Q35" i="1" s="1"/>
  <c r="BF35" i="1"/>
  <c r="M35" i="1" s="1"/>
  <c r="N35" i="1" s="1"/>
  <c r="BS33" i="1"/>
  <c r="Q33" i="1" s="1"/>
  <c r="BF33" i="1"/>
  <c r="M33" i="1" s="1"/>
  <c r="N33" i="1" s="1"/>
  <c r="BS32" i="1"/>
  <c r="Q32" i="1" s="1"/>
  <c r="BF32" i="1"/>
  <c r="M32" i="1" s="1"/>
  <c r="N32" i="1" s="1"/>
  <c r="BS31" i="1"/>
  <c r="Q31" i="1" s="1"/>
  <c r="BF31" i="1"/>
  <c r="M31" i="1" s="1"/>
  <c r="N31" i="1" s="1"/>
  <c r="BS28" i="1"/>
  <c r="Q28" i="1" s="1"/>
  <c r="BF28" i="1"/>
  <c r="M28" i="1" s="1"/>
  <c r="N28" i="1" s="1"/>
  <c r="BS26" i="1"/>
  <c r="Q26" i="1" s="1"/>
  <c r="BF26" i="1"/>
  <c r="M26" i="1" s="1"/>
  <c r="N26" i="1" s="1"/>
  <c r="BS25" i="1"/>
  <c r="Q25" i="1" s="1"/>
  <c r="BF25" i="1"/>
  <c r="M25" i="1" s="1"/>
  <c r="N25" i="1" s="1"/>
  <c r="BS24" i="1"/>
  <c r="Q24" i="1" s="1"/>
  <c r="BF24" i="1"/>
  <c r="M24" i="1" s="1"/>
  <c r="N24" i="1" s="1"/>
  <c r="BS23" i="1"/>
  <c r="Q23" i="1" s="1"/>
  <c r="BF23" i="1"/>
  <c r="M23" i="1" s="1"/>
  <c r="N23" i="1" s="1"/>
  <c r="BS21" i="1"/>
  <c r="Q21" i="1" s="1"/>
  <c r="BF21" i="1"/>
  <c r="M21" i="1" s="1"/>
  <c r="N21" i="1" s="1"/>
  <c r="BS19" i="1"/>
  <c r="Q19" i="1" s="1"/>
  <c r="BF19" i="1"/>
  <c r="M19" i="1" s="1"/>
  <c r="N19" i="1" s="1"/>
  <c r="BQ18" i="1"/>
  <c r="BO18" i="1"/>
  <c r="BK18" i="1"/>
  <c r="BF18" i="1"/>
  <c r="M18" i="1" s="1"/>
  <c r="N18" i="1" s="1"/>
  <c r="BN17" i="1"/>
  <c r="BJ17" i="1"/>
  <c r="BI17" i="1"/>
  <c r="BE17" i="1"/>
  <c r="BD17" i="1"/>
  <c r="BB17" i="1"/>
  <c r="AZ17" i="1"/>
  <c r="AY17" i="1"/>
  <c r="AX17" i="1"/>
  <c r="BS16" i="1"/>
  <c r="Q16" i="1" s="1"/>
  <c r="BF16" i="1"/>
  <c r="M16" i="1" s="1"/>
  <c r="N16" i="1" s="1"/>
  <c r="BS15" i="1"/>
  <c r="Q15" i="1" s="1"/>
  <c r="BF15" i="1"/>
  <c r="M15" i="1" s="1"/>
  <c r="N15" i="1" s="1"/>
  <c r="BQ13" i="1"/>
  <c r="BP13" i="1"/>
  <c r="BO13" i="1"/>
  <c r="BF13" i="1"/>
  <c r="M13" i="1" s="1"/>
  <c r="N13" i="1" s="1"/>
  <c r="BS12" i="1"/>
  <c r="Q12" i="1" s="1"/>
  <c r="BF12" i="1"/>
  <c r="M12" i="1" s="1"/>
  <c r="N12" i="1" s="1"/>
  <c r="BS10" i="1"/>
  <c r="Q10" i="1" s="1"/>
  <c r="BF10" i="1"/>
  <c r="M10" i="1" s="1"/>
  <c r="N10" i="1" s="1"/>
  <c r="BS8" i="1"/>
  <c r="Q8" i="1" s="1"/>
  <c r="BF8" i="1"/>
  <c r="M8" i="1" s="1"/>
  <c r="N8" i="1" s="1"/>
  <c r="BS7" i="1"/>
  <c r="Q7" i="1" s="1"/>
  <c r="BF7" i="1"/>
  <c r="M7" i="1" s="1"/>
  <c r="N7" i="1" s="1"/>
  <c r="BS6" i="1"/>
  <c r="Q6" i="1" s="1"/>
  <c r="BF6" i="1"/>
  <c r="M6" i="1" s="1"/>
  <c r="N6" i="1" s="1"/>
  <c r="AA40" i="1" l="1"/>
  <c r="AB40" i="1"/>
  <c r="AD40" i="1" s="1"/>
  <c r="AE40" i="1" s="1"/>
  <c r="P6" i="1"/>
  <c r="R6" i="1" s="1"/>
  <c r="O6" i="1"/>
  <c r="P23" i="1"/>
  <c r="R23" i="1" s="1"/>
  <c r="O23" i="1"/>
  <c r="P28" i="1"/>
  <c r="R28" i="1" s="1"/>
  <c r="O28" i="1"/>
  <c r="P7" i="1"/>
  <c r="R7" i="1" s="1"/>
  <c r="O7" i="1"/>
  <c r="O13" i="1"/>
  <c r="P13" i="1"/>
  <c r="O18" i="1"/>
  <c r="P18" i="1"/>
  <c r="O24" i="1"/>
  <c r="P24" i="1"/>
  <c r="R24" i="1" s="1"/>
  <c r="P26" i="1"/>
  <c r="R26" i="1" s="1"/>
  <c r="O26" i="1"/>
  <c r="O31" i="1"/>
  <c r="P31" i="1"/>
  <c r="R31" i="1" s="1"/>
  <c r="O25" i="1"/>
  <c r="P25" i="1"/>
  <c r="R25" i="1" s="1"/>
  <c r="O8" i="1"/>
  <c r="P8" i="1"/>
  <c r="R8" i="1" s="1"/>
  <c r="O16" i="1"/>
  <c r="P16" i="1"/>
  <c r="R16" i="1" s="1"/>
  <c r="P21" i="1"/>
  <c r="R21" i="1" s="1"/>
  <c r="O21" i="1"/>
  <c r="P32" i="1"/>
  <c r="R32" i="1" s="1"/>
  <c r="O32" i="1"/>
  <c r="P35" i="1"/>
  <c r="R35" i="1" s="1"/>
  <c r="O35" i="1"/>
  <c r="O12" i="1"/>
  <c r="P12" i="1"/>
  <c r="R12" i="1" s="1"/>
  <c r="P15" i="1"/>
  <c r="R15" i="1" s="1"/>
  <c r="O15" i="1"/>
  <c r="W40" i="1"/>
  <c r="P10" i="1"/>
  <c r="R10" i="1" s="1"/>
  <c r="O10" i="1"/>
  <c r="P19" i="1"/>
  <c r="R19" i="1" s="1"/>
  <c r="O19" i="1"/>
  <c r="O33" i="1"/>
  <c r="P33" i="1"/>
  <c r="R33" i="1" s="1"/>
  <c r="P36" i="1"/>
  <c r="R36" i="1" s="1"/>
  <c r="O36" i="1"/>
  <c r="AB29" i="2"/>
  <c r="AF29" i="2"/>
  <c r="AC29" i="2"/>
  <c r="AE29" i="2" s="1"/>
  <c r="R191" i="4"/>
  <c r="T191" i="4" s="1"/>
  <c r="AR156" i="4"/>
  <c r="M156" i="4" s="1"/>
  <c r="AR161" i="4"/>
  <c r="M161" i="4" s="1"/>
  <c r="AR127" i="4"/>
  <c r="M127" i="4" s="1"/>
  <c r="AR145" i="4"/>
  <c r="M145" i="4" s="1"/>
  <c r="AR158" i="4"/>
  <c r="M158" i="4" s="1"/>
  <c r="R19" i="3"/>
  <c r="S19" i="3" s="1"/>
  <c r="U19" i="3" s="1"/>
  <c r="V19" i="3" s="1"/>
  <c r="X19" i="3" s="1"/>
  <c r="R10" i="3"/>
  <c r="S10" i="3" s="1"/>
  <c r="N12" i="3"/>
  <c r="O12" i="3" s="1"/>
  <c r="P12" i="3" s="1"/>
  <c r="R12" i="3" s="1"/>
  <c r="N13" i="3"/>
  <c r="O13" i="3" s="1"/>
  <c r="P13" i="3" s="1"/>
  <c r="R13" i="3" s="1"/>
  <c r="S13" i="3" s="1"/>
  <c r="X29" i="2"/>
  <c r="R11" i="3"/>
  <c r="R16" i="3"/>
  <c r="S16" i="3" s="1"/>
  <c r="U16" i="3" s="1"/>
  <c r="V16" i="3" s="1"/>
  <c r="X16" i="3" s="1"/>
  <c r="R15" i="3"/>
  <c r="S15" i="3" s="1"/>
  <c r="R23" i="3"/>
  <c r="S20" i="3" s="1"/>
  <c r="U20" i="3" s="1"/>
  <c r="V20" i="3" s="1"/>
  <c r="X20" i="3" s="1"/>
  <c r="R18" i="3"/>
  <c r="S18" i="3" s="1"/>
  <c r="U18" i="3" s="1"/>
  <c r="V18" i="3" s="1"/>
  <c r="X18" i="3" s="1"/>
  <c r="R14" i="3"/>
  <c r="S14" i="3" s="1"/>
  <c r="R17" i="3"/>
  <c r="S17" i="3" s="1"/>
  <c r="U17" i="3" s="1"/>
  <c r="V17" i="3" s="1"/>
  <c r="X17" i="3" s="1"/>
  <c r="P15" i="2"/>
  <c r="Q15" i="2"/>
  <c r="S15" i="2" s="1"/>
  <c r="P11" i="2"/>
  <c r="Q11" i="2"/>
  <c r="S11" i="2" s="1"/>
  <c r="P21" i="2"/>
  <c r="Q21" i="2"/>
  <c r="S21" i="2" s="1"/>
  <c r="P26" i="2"/>
  <c r="Q26" i="2"/>
  <c r="S26" i="2" s="1"/>
  <c r="P19" i="2"/>
  <c r="Q19" i="2"/>
  <c r="S19" i="2" s="1"/>
  <c r="P22" i="2"/>
  <c r="Q22" i="2"/>
  <c r="S22" i="2" s="1"/>
  <c r="P16" i="2"/>
  <c r="Q16" i="2"/>
  <c r="S16" i="2" s="1"/>
  <c r="P10" i="2"/>
  <c r="Q10" i="2"/>
  <c r="S10" i="2" s="1"/>
  <c r="P20" i="2"/>
  <c r="Q20" i="2"/>
  <c r="S20" i="2" s="1"/>
  <c r="P23" i="2"/>
  <c r="Q23" i="2"/>
  <c r="S23" i="2" s="1"/>
  <c r="P27" i="2"/>
  <c r="Q27" i="2"/>
  <c r="S27" i="2" s="1"/>
  <c r="P17" i="2"/>
  <c r="Q17" i="2"/>
  <c r="S17" i="2" s="1"/>
  <c r="P14" i="2"/>
  <c r="Q14" i="2"/>
  <c r="S14" i="2" s="1"/>
  <c r="P25" i="2"/>
  <c r="Q25" i="2"/>
  <c r="S25" i="2" s="1"/>
  <c r="P12" i="2"/>
  <c r="Q12" i="2"/>
  <c r="S12" i="2" s="1"/>
  <c r="P6" i="2"/>
  <c r="Q6" i="2"/>
  <c r="Q24" i="2"/>
  <c r="S24" i="2" s="1"/>
  <c r="P24" i="2"/>
  <c r="Q13" i="2"/>
  <c r="S13" i="2" s="1"/>
  <c r="P13" i="2"/>
  <c r="P18" i="2"/>
  <c r="Q18" i="2"/>
  <c r="S18" i="2" s="1"/>
  <c r="BD4" i="3"/>
  <c r="BG4" i="2"/>
  <c r="N4" i="2" s="1"/>
  <c r="O4" i="2" s="1"/>
  <c r="BF17" i="1"/>
  <c r="M17" i="1" s="1"/>
  <c r="N17" i="1" s="1"/>
  <c r="BS18" i="1"/>
  <c r="Q18" i="1" s="1"/>
  <c r="S8" i="2"/>
  <c r="T8" i="2" s="1"/>
  <c r="N191" i="4"/>
  <c r="O191" i="4" s="1"/>
  <c r="Q191" i="4" s="1"/>
  <c r="BT6" i="2"/>
  <c r="R6" i="2" s="1"/>
  <c r="P8" i="2"/>
  <c r="BS17" i="1"/>
  <c r="Q17" i="1" s="1"/>
  <c r="BS13" i="1"/>
  <c r="Q13" i="1" s="1"/>
  <c r="R18" i="1" l="1"/>
  <c r="S18" i="1" s="1"/>
  <c r="R13" i="1"/>
  <c r="S13" i="1" s="1"/>
  <c r="T32" i="1"/>
  <c r="V32" i="1" s="1"/>
  <c r="S32" i="1"/>
  <c r="S36" i="1"/>
  <c r="T36" i="1"/>
  <c r="T25" i="1"/>
  <c r="S25" i="1"/>
  <c r="S24" i="1"/>
  <c r="T24" i="1"/>
  <c r="O17" i="1"/>
  <c r="P17" i="1"/>
  <c r="R17" i="1" s="1"/>
  <c r="T19" i="1"/>
  <c r="V19" i="1" s="1"/>
  <c r="S19" i="1"/>
  <c r="S15" i="1"/>
  <c r="T15" i="1"/>
  <c r="V15" i="1" s="1"/>
  <c r="X15" i="1" s="1"/>
  <c r="S21" i="1"/>
  <c r="T21" i="1"/>
  <c r="V21" i="1" s="1"/>
  <c r="S7" i="1"/>
  <c r="T7" i="1"/>
  <c r="V7" i="1" s="1"/>
  <c r="X7" i="1" s="1"/>
  <c r="S6" i="1"/>
  <c r="T6" i="1"/>
  <c r="V6" i="1" s="1"/>
  <c r="S35" i="1"/>
  <c r="T35" i="1"/>
  <c r="T26" i="1"/>
  <c r="V26" i="1" s="1"/>
  <c r="X26" i="1" s="1"/>
  <c r="S26" i="1"/>
  <c r="S23" i="1"/>
  <c r="T23" i="1"/>
  <c r="V23" i="1" s="1"/>
  <c r="T10" i="1"/>
  <c r="V10" i="1" s="1"/>
  <c r="S10" i="1"/>
  <c r="T12" i="1"/>
  <c r="V12" i="1" s="1"/>
  <c r="S12" i="1"/>
  <c r="S16" i="1"/>
  <c r="T16" i="1"/>
  <c r="V16" i="1" s="1"/>
  <c r="T31" i="1"/>
  <c r="S31" i="1"/>
  <c r="T33" i="1"/>
  <c r="S33" i="1"/>
  <c r="T8" i="1"/>
  <c r="V8" i="1" s="1"/>
  <c r="X8" i="1" s="1"/>
  <c r="S8" i="1"/>
  <c r="S28" i="1"/>
  <c r="T28" i="1"/>
  <c r="V28" i="1" s="1"/>
  <c r="Y16" i="3"/>
  <c r="Z16" i="3"/>
  <c r="AB16" i="3" s="1"/>
  <c r="AC16" i="3" s="1"/>
  <c r="Y17" i="3"/>
  <c r="Z17" i="3"/>
  <c r="AB17" i="3" s="1"/>
  <c r="AC17" i="3" s="1"/>
  <c r="Y18" i="3"/>
  <c r="Z18" i="3"/>
  <c r="AB18" i="3" s="1"/>
  <c r="AC18" i="3" s="1"/>
  <c r="Z20" i="3"/>
  <c r="AB20" i="3" s="1"/>
  <c r="AC20" i="3" s="1"/>
  <c r="Y20" i="3"/>
  <c r="Y19" i="3"/>
  <c r="Z19" i="3"/>
  <c r="AB19" i="3" s="1"/>
  <c r="AC19" i="3" s="1"/>
  <c r="U10" i="3"/>
  <c r="V10" i="3" s="1"/>
  <c r="X10" i="3" s="1"/>
  <c r="U14" i="3"/>
  <c r="V14" i="3" s="1"/>
  <c r="X14" i="3" s="1"/>
  <c r="U15" i="3"/>
  <c r="V15" i="3" s="1"/>
  <c r="X15" i="3" s="1"/>
  <c r="U13" i="3"/>
  <c r="V13" i="3" s="1"/>
  <c r="X13" i="3" s="1"/>
  <c r="S12" i="3"/>
  <c r="S11" i="3"/>
  <c r="N4" i="3"/>
  <c r="O4" i="3" s="1"/>
  <c r="P4" i="3" s="1"/>
  <c r="R4" i="3" s="1"/>
  <c r="S4" i="3" s="1"/>
  <c r="U4" i="3" s="1"/>
  <c r="T19" i="2"/>
  <c r="U19" i="2"/>
  <c r="W19" i="2" s="1"/>
  <c r="Y19" i="2" s="1"/>
  <c r="AA19" i="2" s="1"/>
  <c r="T11" i="2"/>
  <c r="U11" i="2"/>
  <c r="W11" i="2" s="1"/>
  <c r="Y11" i="2" s="1"/>
  <c r="AA11" i="2" s="1"/>
  <c r="T13" i="2"/>
  <c r="U13" i="2"/>
  <c r="W13" i="2" s="1"/>
  <c r="Y13" i="2" s="1"/>
  <c r="AA13" i="2" s="1"/>
  <c r="T23" i="2"/>
  <c r="U23" i="2"/>
  <c r="W23" i="2" s="1"/>
  <c r="Y23" i="2" s="1"/>
  <c r="AA23" i="2" s="1"/>
  <c r="T12" i="2"/>
  <c r="U12" i="2"/>
  <c r="W12" i="2" s="1"/>
  <c r="Y12" i="2" s="1"/>
  <c r="AA12" i="2" s="1"/>
  <c r="T17" i="2"/>
  <c r="U17" i="2"/>
  <c r="W17" i="2" s="1"/>
  <c r="Y17" i="2" s="1"/>
  <c r="AA17" i="2" s="1"/>
  <c r="T20" i="2"/>
  <c r="U20" i="2"/>
  <c r="W20" i="2" s="1"/>
  <c r="Y20" i="2" s="1"/>
  <c r="AA20" i="2" s="1"/>
  <c r="T16" i="2"/>
  <c r="U16" i="2"/>
  <c r="W16" i="2" s="1"/>
  <c r="Y16" i="2" s="1"/>
  <c r="AA16" i="2" s="1"/>
  <c r="T14" i="2"/>
  <c r="U14" i="2"/>
  <c r="W14" i="2" s="1"/>
  <c r="Y14" i="2" s="1"/>
  <c r="AA14" i="2" s="1"/>
  <c r="T22" i="2"/>
  <c r="U22" i="2"/>
  <c r="W22" i="2" s="1"/>
  <c r="Y22" i="2" s="1"/>
  <c r="AA22" i="2" s="1"/>
  <c r="T26" i="2"/>
  <c r="U26" i="2"/>
  <c r="W26" i="2" s="1"/>
  <c r="Y26" i="2" s="1"/>
  <c r="AA26" i="2" s="1"/>
  <c r="T10" i="2"/>
  <c r="U10" i="2"/>
  <c r="W10" i="2" s="1"/>
  <c r="Y10" i="2" s="1"/>
  <c r="AA10" i="2" s="1"/>
  <c r="P4" i="2"/>
  <c r="Q4" i="2"/>
  <c r="S4" i="2" s="1"/>
  <c r="T18" i="2"/>
  <c r="U18" i="2"/>
  <c r="W18" i="2" s="1"/>
  <c r="Y18" i="2" s="1"/>
  <c r="AA18" i="2" s="1"/>
  <c r="T15" i="2"/>
  <c r="U15" i="2"/>
  <c r="W15" i="2" s="1"/>
  <c r="Y15" i="2" s="1"/>
  <c r="AA15" i="2" s="1"/>
  <c r="T25" i="2"/>
  <c r="U25" i="2"/>
  <c r="W25" i="2" s="1"/>
  <c r="Y25" i="2" s="1"/>
  <c r="AA25" i="2" s="1"/>
  <c r="T24" i="2"/>
  <c r="U24" i="2"/>
  <c r="W24" i="2" s="1"/>
  <c r="Y24" i="2" s="1"/>
  <c r="AA24" i="2" s="1"/>
  <c r="S6" i="2"/>
  <c r="T27" i="2"/>
  <c r="U27" i="2"/>
  <c r="W27" i="2" s="1"/>
  <c r="Y27" i="2" s="1"/>
  <c r="AA27" i="2" s="1"/>
  <c r="T21" i="2"/>
  <c r="U21" i="2"/>
  <c r="W21" i="2" s="1"/>
  <c r="Y21" i="2" s="1"/>
  <c r="AA21" i="2" s="1"/>
  <c r="U8" i="2"/>
  <c r="W8" i="2" s="1"/>
  <c r="Y8" i="2" s="1"/>
  <c r="AA8" i="2" s="1"/>
  <c r="X21" i="1" l="1"/>
  <c r="Z21" i="1" s="1"/>
  <c r="W21" i="1"/>
  <c r="T18" i="1"/>
  <c r="V18" i="1" s="1"/>
  <c r="T13" i="1"/>
  <c r="V13" i="1" s="1"/>
  <c r="X13" i="1" s="1"/>
  <c r="W10" i="1"/>
  <c r="X10" i="1"/>
  <c r="Z10" i="1" s="1"/>
  <c r="W19" i="1"/>
  <c r="X19" i="1"/>
  <c r="Z19" i="1" s="1"/>
  <c r="W32" i="1"/>
  <c r="X32" i="1"/>
  <c r="Z32" i="1" s="1"/>
  <c r="W6" i="1"/>
  <c r="X6" i="1"/>
  <c r="Z6" i="1" s="1"/>
  <c r="W23" i="1"/>
  <c r="X23" i="1"/>
  <c r="Z23" i="1" s="1"/>
  <c r="S17" i="1"/>
  <c r="T17" i="1"/>
  <c r="V17" i="1" s="1"/>
  <c r="W28" i="1"/>
  <c r="X28" i="1"/>
  <c r="Z28" i="1" s="1"/>
  <c r="W16" i="1"/>
  <c r="X16" i="1"/>
  <c r="Z16" i="1" s="1"/>
  <c r="W12" i="1"/>
  <c r="X12" i="1"/>
  <c r="Z12" i="1" s="1"/>
  <c r="Z15" i="1"/>
  <c r="W15" i="1"/>
  <c r="Z7" i="1"/>
  <c r="W7" i="1"/>
  <c r="Z8" i="1"/>
  <c r="W8" i="1"/>
  <c r="Z26" i="1"/>
  <c r="W26" i="1"/>
  <c r="Z13" i="3"/>
  <c r="AB13" i="3" s="1"/>
  <c r="AC13" i="3" s="1"/>
  <c r="Y13" i="3"/>
  <c r="Y15" i="3"/>
  <c r="Z15" i="3"/>
  <c r="AB15" i="3" s="1"/>
  <c r="AC15" i="3" s="1"/>
  <c r="Y14" i="3"/>
  <c r="Z14" i="3"/>
  <c r="AB14" i="3" s="1"/>
  <c r="AC14" i="3" s="1"/>
  <c r="Y10" i="3"/>
  <c r="Z10" i="3"/>
  <c r="AB10" i="3" s="1"/>
  <c r="AC10" i="3" s="1"/>
  <c r="AC26" i="2"/>
  <c r="AE26" i="2" s="1"/>
  <c r="AF26" i="2"/>
  <c r="AF8" i="2"/>
  <c r="AC8" i="2"/>
  <c r="AE8" i="2" s="1"/>
  <c r="AF21" i="2"/>
  <c r="AC21" i="2"/>
  <c r="AE21" i="2" s="1"/>
  <c r="AF17" i="2"/>
  <c r="AC17" i="2"/>
  <c r="AE17" i="2" s="1"/>
  <c r="AF27" i="2"/>
  <c r="AC27" i="2"/>
  <c r="AE27" i="2" s="1"/>
  <c r="AC14" i="2"/>
  <c r="AE14" i="2" s="1"/>
  <c r="AF14" i="2"/>
  <c r="AC25" i="2"/>
  <c r="AE25" i="2" s="1"/>
  <c r="AF25" i="2"/>
  <c r="AF23" i="2"/>
  <c r="AC23" i="2"/>
  <c r="AE23" i="2" s="1"/>
  <c r="AF15" i="2"/>
  <c r="AC15" i="2"/>
  <c r="AE15" i="2" s="1"/>
  <c r="AF13" i="2"/>
  <c r="AC13" i="2"/>
  <c r="AE13" i="2" s="1"/>
  <c r="AF24" i="2"/>
  <c r="AC24" i="2"/>
  <c r="AE24" i="2" s="1"/>
  <c r="AF22" i="2"/>
  <c r="AC22" i="2"/>
  <c r="AE22" i="2" s="1"/>
  <c r="AF19" i="2"/>
  <c r="AC19" i="2"/>
  <c r="AE19" i="2" s="1"/>
  <c r="AF10" i="2"/>
  <c r="AC10" i="2"/>
  <c r="AE10" i="2" s="1"/>
  <c r="AC12" i="2"/>
  <c r="AE12" i="2" s="1"/>
  <c r="AF12" i="2"/>
  <c r="AF16" i="2"/>
  <c r="AC16" i="2"/>
  <c r="AE16" i="2" s="1"/>
  <c r="AF20" i="2"/>
  <c r="AC20" i="2"/>
  <c r="AE20" i="2" s="1"/>
  <c r="AF18" i="2"/>
  <c r="AC18" i="2"/>
  <c r="AE18" i="2" s="1"/>
  <c r="AC11" i="2"/>
  <c r="AE11" i="2" s="1"/>
  <c r="AF11" i="2"/>
  <c r="U11" i="3"/>
  <c r="V11" i="3" s="1"/>
  <c r="X11" i="3" s="1"/>
  <c r="U12" i="3"/>
  <c r="V12" i="3" s="1"/>
  <c r="X12" i="3" s="1"/>
  <c r="X21" i="2"/>
  <c r="AB21" i="2"/>
  <c r="X17" i="2"/>
  <c r="X20" i="2"/>
  <c r="X11" i="2"/>
  <c r="AB11" i="2"/>
  <c r="X23" i="2"/>
  <c r="AB23" i="2"/>
  <c r="X25" i="2"/>
  <c r="AB25" i="2"/>
  <c r="X24" i="2"/>
  <c r="AB24" i="2"/>
  <c r="X15" i="2"/>
  <c r="AB15" i="2"/>
  <c r="X14" i="2"/>
  <c r="AB14" i="2"/>
  <c r="X22" i="2"/>
  <c r="AB22" i="2"/>
  <c r="X12" i="2"/>
  <c r="AB12" i="2"/>
  <c r="X13" i="2"/>
  <c r="AB13" i="2"/>
  <c r="X8" i="2"/>
  <c r="AB8" i="2"/>
  <c r="X18" i="2"/>
  <c r="X16" i="2"/>
  <c r="X27" i="2"/>
  <c r="AB27" i="2"/>
  <c r="X10" i="2"/>
  <c r="AB10" i="2"/>
  <c r="X26" i="2"/>
  <c r="AB26" i="2"/>
  <c r="X19" i="2"/>
  <c r="V33" i="1"/>
  <c r="X33" i="1" s="1"/>
  <c r="V36" i="1"/>
  <c r="X36" i="1" s="1"/>
  <c r="V25" i="1"/>
  <c r="V35" i="1"/>
  <c r="V24" i="1"/>
  <c r="X24" i="1" s="1"/>
  <c r="V31" i="1"/>
  <c r="X31" i="1" s="1"/>
  <c r="T4" i="2"/>
  <c r="U4" i="2"/>
  <c r="W4" i="2" s="1"/>
  <c r="Y4" i="2" s="1"/>
  <c r="AA4" i="2" s="1"/>
  <c r="T6" i="2"/>
  <c r="U6" i="2"/>
  <c r="W6" i="2" s="1"/>
  <c r="Y6" i="2" s="1"/>
  <c r="AA21" i="1" l="1"/>
  <c r="AB23" i="1"/>
  <c r="AD23" i="1" s="1"/>
  <c r="AE23" i="1" s="1"/>
  <c r="AA23" i="1"/>
  <c r="W35" i="1"/>
  <c r="X35" i="1"/>
  <c r="Z35" i="1" s="1"/>
  <c r="W18" i="1"/>
  <c r="X18" i="1"/>
  <c r="Z18" i="1" s="1"/>
  <c r="AB26" i="1"/>
  <c r="AD26" i="1" s="1"/>
  <c r="AE26" i="1" s="1"/>
  <c r="AA26" i="1"/>
  <c r="W25" i="1"/>
  <c r="X25" i="1"/>
  <c r="Z25" i="1" s="1"/>
  <c r="AB21" i="1"/>
  <c r="AB7" i="1"/>
  <c r="AD7" i="1" s="1"/>
  <c r="AE7" i="1" s="1"/>
  <c r="AA7" i="1"/>
  <c r="AA15" i="1"/>
  <c r="AB15" i="1"/>
  <c r="AD15" i="1" s="1"/>
  <c r="AE15" i="1" s="1"/>
  <c r="W17" i="1"/>
  <c r="X17" i="1"/>
  <c r="Z17" i="1" s="1"/>
  <c r="AB32" i="1"/>
  <c r="AD32" i="1" s="1"/>
  <c r="AE32" i="1" s="1"/>
  <c r="AA32" i="1"/>
  <c r="AA6" i="1"/>
  <c r="AB6" i="1"/>
  <c r="AD6" i="1" s="1"/>
  <c r="AE6" i="1" s="1"/>
  <c r="AB10" i="1"/>
  <c r="AD10" i="1" s="1"/>
  <c r="AE10" i="1" s="1"/>
  <c r="AA10" i="1"/>
  <c r="AB8" i="1"/>
  <c r="AD8" i="1" s="1"/>
  <c r="AE8" i="1" s="1"/>
  <c r="AA8" i="1"/>
  <c r="AA12" i="1"/>
  <c r="AB12" i="1"/>
  <c r="AD12" i="1" s="1"/>
  <c r="AE12" i="1" s="1"/>
  <c r="AB28" i="1"/>
  <c r="AD28" i="1" s="1"/>
  <c r="AE28" i="1" s="1"/>
  <c r="AA28" i="1"/>
  <c r="AB16" i="1"/>
  <c r="AD16" i="1" s="1"/>
  <c r="AE16" i="1" s="1"/>
  <c r="AA16" i="1"/>
  <c r="AB19" i="1"/>
  <c r="AD19" i="1" s="1"/>
  <c r="AE19" i="1" s="1"/>
  <c r="AA19" i="1"/>
  <c r="Z24" i="1"/>
  <c r="W24" i="1"/>
  <c r="Z13" i="1"/>
  <c r="W13" i="1"/>
  <c r="Z33" i="1"/>
  <c r="W33" i="1"/>
  <c r="Z31" i="1"/>
  <c r="W31" i="1"/>
  <c r="Z36" i="1"/>
  <c r="W36" i="1"/>
  <c r="Y11" i="3"/>
  <c r="Z11" i="3"/>
  <c r="AB11" i="3" s="1"/>
  <c r="AC11" i="3" s="1"/>
  <c r="Y12" i="3"/>
  <c r="Z12" i="3"/>
  <c r="AB12" i="3" s="1"/>
  <c r="AC12" i="3" s="1"/>
  <c r="AF4" i="2"/>
  <c r="AC4" i="2"/>
  <c r="AE4" i="2" s="1"/>
  <c r="X6" i="2"/>
  <c r="AA6" i="2"/>
  <c r="X4" i="2"/>
  <c r="AB4" i="2"/>
  <c r="AJ4" i="2" l="1"/>
  <c r="AG4" i="2"/>
  <c r="AI4" i="2" s="1"/>
  <c r="AD21" i="1"/>
  <c r="AE21" i="1" s="1"/>
  <c r="AA36" i="1"/>
  <c r="AB36" i="1"/>
  <c r="AD36" i="1" s="1"/>
  <c r="AE36" i="1" s="1"/>
  <c r="AB17" i="1"/>
  <c r="AD17" i="1" s="1"/>
  <c r="AE17" i="1" s="1"/>
  <c r="AA17" i="1"/>
  <c r="AA33" i="1"/>
  <c r="AB33" i="1"/>
  <c r="AD33" i="1" s="1"/>
  <c r="AE33" i="1" s="1"/>
  <c r="AB13" i="1"/>
  <c r="AD13" i="1" s="1"/>
  <c r="AE13" i="1" s="1"/>
  <c r="AA13" i="1"/>
  <c r="AB24" i="1"/>
  <c r="AD24" i="1" s="1"/>
  <c r="AE24" i="1" s="1"/>
  <c r="AA24" i="1"/>
  <c r="AB18" i="1"/>
  <c r="AD18" i="1" s="1"/>
  <c r="AE18" i="1" s="1"/>
  <c r="AA18" i="1"/>
  <c r="AA25" i="1"/>
  <c r="AB25" i="1"/>
  <c r="AD25" i="1" s="1"/>
  <c r="AE25" i="1" s="1"/>
  <c r="AA35" i="1"/>
  <c r="AB35" i="1"/>
  <c r="AD35" i="1" s="1"/>
  <c r="AE35" i="1" s="1"/>
  <c r="AA31" i="1"/>
  <c r="AB31" i="1"/>
  <c r="AD31" i="1" s="1"/>
  <c r="AE31" i="1" s="1"/>
  <c r="AB6" i="2"/>
  <c r="AF6" i="2"/>
  <c r="AC6" i="2"/>
  <c r="AE6" i="2" s="1"/>
  <c r="AC84" i="1"/>
  <c r="AD84" i="1" s="1"/>
  <c r="AE8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Zamani Ernest Dlamini</author>
  </authors>
  <commentList>
    <comment ref="D75" authorId="0" shapeId="0" xr:uid="{E08F5C16-4C0D-4B9D-91DC-190B23831627}">
      <text>
        <r>
          <rPr>
            <b/>
            <sz val="9"/>
            <color indexed="81"/>
            <rFont val="Tahoma"/>
            <family val="2"/>
          </rPr>
          <t>Zamani Ernest Dlamini:</t>
        </r>
        <r>
          <rPr>
            <sz val="9"/>
            <color indexed="81"/>
            <rFont val="Tahoma"/>
            <family val="2"/>
          </rPr>
          <t xml:space="preserve">
no appointment letter</t>
        </r>
      </text>
    </comment>
    <comment ref="D77" authorId="0" shapeId="0" xr:uid="{F6449375-85EE-47F9-804A-749141F2B8FA}">
      <text>
        <r>
          <rPr>
            <b/>
            <sz val="9"/>
            <color indexed="81"/>
            <rFont val="Tahoma"/>
            <family val="2"/>
          </rPr>
          <t>Zamani Ernest Dlamini:</t>
        </r>
        <r>
          <rPr>
            <sz val="9"/>
            <color indexed="81"/>
            <rFont val="Tahoma"/>
            <family val="2"/>
          </rPr>
          <t xml:space="preserve">
no appointment letter</t>
        </r>
      </text>
    </comment>
    <comment ref="D79" authorId="0" shapeId="0" xr:uid="{FE889A3A-D9A1-432C-B98A-133B59333B06}">
      <text>
        <r>
          <rPr>
            <b/>
            <sz val="9"/>
            <color indexed="81"/>
            <rFont val="Tahoma"/>
            <family val="2"/>
          </rPr>
          <t>Zamani Ernest Dlamini:</t>
        </r>
        <r>
          <rPr>
            <sz val="9"/>
            <color indexed="81"/>
            <rFont val="Tahoma"/>
            <family val="2"/>
          </rPr>
          <t xml:space="preserve">
No appointment letter</t>
        </r>
      </text>
    </comment>
    <comment ref="D81" authorId="0" shapeId="0" xr:uid="{ABCE45C5-36A3-40ED-A010-517F6D3F4C2F}">
      <text>
        <r>
          <rPr>
            <b/>
            <sz val="9"/>
            <color indexed="81"/>
            <rFont val="Tahoma"/>
            <family val="2"/>
          </rPr>
          <t>Zamani Ernest Dlamini:</t>
        </r>
        <r>
          <rPr>
            <sz val="9"/>
            <color indexed="81"/>
            <rFont val="Tahoma"/>
            <family val="2"/>
          </rPr>
          <t xml:space="preserve">
no appointment letter</t>
        </r>
      </text>
    </comment>
    <comment ref="D82" authorId="0" shapeId="0" xr:uid="{F61F236B-422B-433E-B4ED-C1B4151D093E}">
      <text>
        <r>
          <rPr>
            <b/>
            <sz val="9"/>
            <color indexed="81"/>
            <rFont val="Tahoma"/>
            <family val="2"/>
          </rPr>
          <t>Zamani Ernest Dlamini:</t>
        </r>
        <r>
          <rPr>
            <sz val="9"/>
            <color indexed="81"/>
            <rFont val="Tahoma"/>
            <family val="2"/>
          </rPr>
          <t xml:space="preserve">
no appointment letter
</t>
        </r>
      </text>
    </comment>
    <comment ref="D84" authorId="0" shapeId="0" xr:uid="{2C1881D6-44B8-44DB-989D-F1DF78E05297}">
      <text>
        <r>
          <rPr>
            <b/>
            <sz val="9"/>
            <color indexed="81"/>
            <rFont val="Tahoma"/>
            <family val="2"/>
          </rPr>
          <t>Zamani Ernest Dlamini:</t>
        </r>
        <r>
          <rPr>
            <sz val="9"/>
            <color indexed="81"/>
            <rFont val="Tahoma"/>
            <family val="2"/>
          </rPr>
          <t xml:space="preserve">
no appointment letter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Ntuli, Philasande</author>
  </authors>
  <commentList>
    <comment ref="DM35" authorId="0" shapeId="0" xr:uid="{E86D965E-D55A-4C4F-AB63-32AC47842C02}">
      <text>
        <r>
          <rPr>
            <b/>
            <sz val="9"/>
            <color indexed="81"/>
            <rFont val="Tahoma"/>
            <family val="2"/>
          </rPr>
          <t>Ntuli, Philasande:</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KTeepa</author>
  </authors>
  <commentList>
    <comment ref="BH16" authorId="0" shapeId="0" xr:uid="{894D587A-B53B-4F63-8692-F8CFDBBD0FF3}">
      <text>
        <r>
          <rPr>
            <b/>
            <sz val="9"/>
            <color indexed="81"/>
            <rFont val="Tahoma"/>
            <family val="2"/>
          </rPr>
          <t>KTeepa:</t>
        </r>
        <r>
          <rPr>
            <sz val="9"/>
            <color indexed="81"/>
            <rFont val="Tahoma"/>
            <family val="2"/>
          </rPr>
          <t xml:space="preserve">
MIXED 2 588 056,60 (PHASE 2) AND 2 209 786,53 (PHASE 1)
FROM GL DID NOT FIND VOUCHERS FOR THIS</t>
        </r>
      </text>
    </comment>
    <comment ref="BF100" authorId="0" shapeId="0" xr:uid="{EA6979D9-F935-4E41-A99D-31EC128CED33}">
      <text>
        <r>
          <rPr>
            <b/>
            <sz val="9"/>
            <color indexed="81"/>
            <rFont val="Tahoma"/>
            <family val="2"/>
          </rPr>
          <t>KTeepa:</t>
        </r>
        <r>
          <rPr>
            <sz val="9"/>
            <color indexed="81"/>
            <rFont val="Tahoma"/>
            <family val="2"/>
          </rPr>
          <t xml:space="preserve">
ASK MSOMI IF THIS IS OKAY. CLAIMED BEFORE PROJECT STARTED</t>
        </r>
      </text>
    </comment>
    <comment ref="D209" authorId="0" shapeId="0" xr:uid="{832071F3-C7BF-41A6-A67A-2C1349420277}">
      <text>
        <r>
          <rPr>
            <b/>
            <sz val="9"/>
            <color indexed="81"/>
            <rFont val="Tahoma"/>
            <family val="2"/>
          </rPr>
          <t>KTeepa:</t>
        </r>
        <r>
          <rPr>
            <sz val="9"/>
            <color indexed="81"/>
            <rFont val="Tahoma"/>
            <family val="2"/>
          </rPr>
          <t xml:space="preserve">
36 months extension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<sst xmlns="http://schemas.openxmlformats.org/spreadsheetml/2006/main" count="7970" uniqueCount="2070">
  <si>
    <t>2019-2020</t>
  </si>
  <si>
    <t>2020-2021</t>
  </si>
  <si>
    <t>2021-2022</t>
  </si>
  <si>
    <t>BID/QUOTATION NUMBER</t>
  </si>
  <si>
    <t>CONTRACT TYPE</t>
  </si>
  <si>
    <t>DESCRIPTION OF GOODS/SERVICES/PROJECTS</t>
  </si>
  <si>
    <t>APPOINTED BIDDER</t>
  </si>
  <si>
    <t>CENTRAL SUPPLIER DATABASE REGISTRATION NO.</t>
  </si>
  <si>
    <t>PARTY TYPE</t>
  </si>
  <si>
    <t>MUNICIPALITY 
VOTE/DEPARTMENT</t>
  </si>
  <si>
    <t>CATEGORY</t>
  </si>
  <si>
    <t xml:space="preserve">CONTRACT START DATE </t>
  </si>
  <si>
    <t>CONTRACT END DATE</t>
  </si>
  <si>
    <t>CONTRACT VALUE AS PER CONTRACT</t>
  </si>
  <si>
    <t>2020 payments</t>
  </si>
  <si>
    <t>contract amount paid as at  June 2020</t>
  </si>
  <si>
    <t>2021 payments</t>
  </si>
  <si>
    <t>contract amount paid as at  June 2021</t>
  </si>
  <si>
    <t>BALANCE OF CONTRACT VALUE</t>
  </si>
  <si>
    <t>2022 payments</t>
  </si>
  <si>
    <t>contract amount paid as at  June 2022</t>
  </si>
  <si>
    <t>PERCENTAGE ESCALATION</t>
  </si>
  <si>
    <t>CONTRACT DURATION IN MONTHS</t>
  </si>
  <si>
    <t>CONTRACT STATUS</t>
  </si>
  <si>
    <t>CONTRACT EXTENSION PERIOD IN MONTHS</t>
  </si>
  <si>
    <t>CONTRACT EXTENSION VALUE</t>
  </si>
  <si>
    <t>EARLY TERMINATION CLAUSE</t>
  </si>
  <si>
    <t>PAYMENT MILESTONES/DELIVERABLES                                 YES /NO</t>
  </si>
  <si>
    <t>PAYMENT PENALTY CLAUSE   YES/NO</t>
  </si>
  <si>
    <t>NAME OF DATA CAPTURER</t>
  </si>
  <si>
    <t>COMMENTS</t>
  </si>
  <si>
    <t>July</t>
  </si>
  <si>
    <t>August</t>
  </si>
  <si>
    <t>September</t>
  </si>
  <si>
    <t>October</t>
  </si>
  <si>
    <t>November</t>
  </si>
  <si>
    <t>December</t>
  </si>
  <si>
    <t>January</t>
  </si>
  <si>
    <t>February</t>
  </si>
  <si>
    <t>March</t>
  </si>
  <si>
    <t>April</t>
  </si>
  <si>
    <t>May</t>
  </si>
  <si>
    <t>June</t>
  </si>
  <si>
    <t>TOTAL</t>
  </si>
  <si>
    <t>NQU2110/212/2014</t>
  </si>
  <si>
    <t>APPOINTMENT LETTER</t>
  </si>
  <si>
    <t>NQUTHU LOW COST HOUSING / ELECTRIFICATION OF NOMATHINTA PHASE II</t>
  </si>
  <si>
    <t>SHANTI'S ELECTRICAL CONSTRUCTION</t>
  </si>
  <si>
    <t>MAAA0374429</t>
  </si>
  <si>
    <t>PRIVATE SECTOR INSTITUTION</t>
  </si>
  <si>
    <t>TECHNICAL &amp; INFRASTRUCTURE  SERVICES</t>
  </si>
  <si>
    <t>MAINTENANCE (ELECTRICAL, MECHANICAL, EQUIPMENT &amp; PLUMBING)</t>
  </si>
  <si>
    <t>CURRENT</t>
  </si>
  <si>
    <t>NO</t>
  </si>
  <si>
    <t>PHILA</t>
  </si>
  <si>
    <t>&gt;  THE CONTRACT CONTAINS A LETTERS OF APPOINTMENT AND ACCEPTANCE, SIGNED BY BOTH PARTIES TO THE AGREEMENT.
&gt; THERE WAS AN EXTENSION OF SCOPE OF WORK FOR ELECTRIFICATION OF NOMATHINTA PHASE II WHICH ENTAILS CONNECTION TO 1500 HOUSEHOLDS (LOW COST HOUSING) AND THAT PROJECT IS THE IMPLEMENTATION OF NOMATHINTA PHASE III.</t>
  </si>
  <si>
    <t>NQU5000/334/2017</t>
  </si>
  <si>
    <t>GENERAL CONDITIONS OF CONTRACT</t>
  </si>
  <si>
    <t>INSTALLATION OF WELCOME TO NQUTHU TOWN SIGN - WARD 14</t>
  </si>
  <si>
    <t>MPANDLA TRAINING (main contractor)</t>
  </si>
  <si>
    <t>MAAA0141319</t>
  </si>
  <si>
    <t>CONSTRUCTION</t>
  </si>
  <si>
    <t>SANOQWABE CONSULTANTS 9 consultants)</t>
  </si>
  <si>
    <t>MAAA0239417</t>
  </si>
  <si>
    <t>KHANS CONCRETE PRODUCTS (cession)</t>
  </si>
  <si>
    <t>MAAA0003055</t>
  </si>
  <si>
    <t xml:space="preserve">NQU5000/356/2018 </t>
  </si>
  <si>
    <t>CONSTRUCTION OF NQUTHU SOUTHERN ROAD NETWORK PHASE 2</t>
  </si>
  <si>
    <t>SSR SECURITY CC T A MAHLUBI TRANSPORT AND PLANT AND PROJECTS (main contractor)</t>
  </si>
  <si>
    <t>MAAA0010470</t>
  </si>
  <si>
    <t>&gt;THE CONTRACT CONTAINS A LETTER OF APPOINTMENT AND ACCEPTANCE, SIGNED BY BOTH PARTIES.
&gt; THE START DATE OF THE CONTRACT HAS BEEN TAKEN FROM THE LETTER OF APPOINTMENT.</t>
  </si>
  <si>
    <t>KHANS CONRETE PRODUCTS (cession)</t>
  </si>
  <si>
    <t>DLV ENGINEERS (consultant)</t>
  </si>
  <si>
    <t>MAAA0057242</t>
  </si>
  <si>
    <t>NQU346/2018</t>
  </si>
  <si>
    <t xml:space="preserve">CONSTRUCTION OF  SPRINGLAKE SPORTSFIELD </t>
  </si>
  <si>
    <t>ALTACON PROJECTS (PTY) LTD</t>
  </si>
  <si>
    <t>MAAA0504870</t>
  </si>
  <si>
    <t>MAFAHLENI ENGINEERS (consultant)</t>
  </si>
  <si>
    <t>MAAA0177967</t>
  </si>
  <si>
    <t>NQU5050/368/2018</t>
  </si>
  <si>
    <t>SHIKANI TRADING (main contractor)</t>
  </si>
  <si>
    <t>MAAA0217544</t>
  </si>
  <si>
    <t xml:space="preserve">&gt;THE CONTRACT CONTAINS A LETTER OF APPOINTMENT AND ACCEPTANCE, SIGNED BY BOTH PARTIES.
&gt; THE START DATE OF THE CONTRACT HAS BEEN TAKEN FROM THE LETTER OF APPOINTMENT.      </t>
  </si>
  <si>
    <t>NEWCOR TRADING (cession)</t>
  </si>
  <si>
    <t>MAAA0820850</t>
  </si>
  <si>
    <t>KHANS CONCRETE (cession)</t>
  </si>
  <si>
    <t>VANGISA CONSULTING( consultant turned turnkey)</t>
  </si>
  <si>
    <t>MAAA0151165</t>
  </si>
  <si>
    <t>NQU5050/367/2018</t>
  </si>
  <si>
    <t>UPGRADE OF NQUTHU STADIUM</t>
  </si>
  <si>
    <t>ETHALA CONSTRUCTION AND SERVICES</t>
  </si>
  <si>
    <t>MAAA0306112</t>
  </si>
  <si>
    <t>KAMAWEWE (consultant)</t>
  </si>
  <si>
    <t>MAAA0031506</t>
  </si>
  <si>
    <t>NQU5050/369/2018-2019</t>
  </si>
  <si>
    <t>RENOVATION OF NQUTHU STORES - WARD 14</t>
  </si>
  <si>
    <t>ZMB PLANT HIRE</t>
  </si>
  <si>
    <t>MAAA0577538</t>
  </si>
  <si>
    <t>NQU5000/020/2019-2020</t>
  </si>
  <si>
    <t>CONSTRUCTION OF FIRE STATION OFFICES</t>
  </si>
  <si>
    <t>VITSHA TRADING (main contractor)</t>
  </si>
  <si>
    <t>MAAA0203452</t>
  </si>
  <si>
    <t>MAAA0660471</t>
  </si>
  <si>
    <t>ANDERSON VOGT CONSULTING (consultant)</t>
  </si>
  <si>
    <t>MAAA0181141</t>
  </si>
  <si>
    <t>NQU0030/56/2011</t>
  </si>
  <si>
    <t>SERVICE LEVEL AGREEMENT</t>
  </si>
  <si>
    <t>INCUBATOR PHASE 2 UNIT 3 AND 4</t>
  </si>
  <si>
    <t>RIVER QUEEN TRADING</t>
  </si>
  <si>
    <t>MAAA0093137</t>
  </si>
  <si>
    <t>PLANNING &amp; ECONOMIC DEVELOPMENT</t>
  </si>
  <si>
    <t>NQU0030/56/2012</t>
  </si>
  <si>
    <t>INCUBATOR P2 CAR WASH</t>
  </si>
  <si>
    <t>MAAA0093138</t>
  </si>
  <si>
    <t>NQU0030/56/2014</t>
  </si>
  <si>
    <t>MAAA0093140</t>
  </si>
  <si>
    <t>NQU5050/016/2019-2020</t>
  </si>
  <si>
    <t xml:space="preserve">CONSTRUCTION OF MASAKHANE COMMUNITY HALL </t>
  </si>
  <si>
    <t>AMAMBO PROJECTS (main contractor)</t>
  </si>
  <si>
    <t>MAAA0506751</t>
  </si>
  <si>
    <t>MAJIKI CONSTRUCTION AND PLANT HIRE (completion)</t>
  </si>
  <si>
    <t>MAAA0411357</t>
  </si>
  <si>
    <t>MELOSIZWE (sub-contractor)</t>
  </si>
  <si>
    <t>MAAA0848208</t>
  </si>
  <si>
    <t>MAAA0660233</t>
  </si>
  <si>
    <t>NOBESUTHU (consultant)</t>
  </si>
  <si>
    <t>MAAA0317505</t>
  </si>
  <si>
    <t>14,5% discount rate of 14% of the project value</t>
  </si>
  <si>
    <t>NQU5050/015/2019-2020</t>
  </si>
  <si>
    <t>CONSTRUCTION OF GWIJA COMMUNITY HALL</t>
  </si>
  <si>
    <t>NONGAFA TRADING ENTERPRISE (main contractor)</t>
  </si>
  <si>
    <t>MAAA0101125</t>
  </si>
  <si>
    <t>NSILAKAMKHULU (sub-contractor)</t>
  </si>
  <si>
    <t>MAAA0713432</t>
  </si>
  <si>
    <t>SIMPHULWAZI (consulatant)</t>
  </si>
  <si>
    <t>MAAA0090913</t>
  </si>
  <si>
    <t>13% discount of 14% construction value</t>
  </si>
  <si>
    <t>NQU5000/026/2019-2020</t>
  </si>
  <si>
    <t>CONSTRUCTION OF NQUTHU JUNCTION (RANK ROAD AND MISSION ROAD) IN WARD 14</t>
  </si>
  <si>
    <t>KHANS CONCRETE PRODUCTS</t>
  </si>
  <si>
    <t>SHISALANGA (cession)</t>
  </si>
  <si>
    <t>14% of construction value</t>
  </si>
  <si>
    <t>NQU5000/018/2019-2020</t>
  </si>
  <si>
    <t>CONSTRUCTION OF NQUTHU RESIDENTIAL DEVELOPMENT PHASE I – WATER AND SEWER</t>
  </si>
  <si>
    <t>MELA OKUHLE TRADING ENTERPRISE</t>
  </si>
  <si>
    <t>MAAA0073774</t>
  </si>
  <si>
    <t>MAAA0196542</t>
  </si>
  <si>
    <t>35% discount of 14% of construcion value</t>
  </si>
  <si>
    <t>NQU5000/017/2019-2020</t>
  </si>
  <si>
    <t>CONSTRUCTION OF NQUTHU RESIDENTIAL DEVELOPMENT PHASE 2 – ROADS AND STORMWATER</t>
  </si>
  <si>
    <t>NJENGAMANJE JV QUALITY CIVILS (main contractor)</t>
  </si>
  <si>
    <t>MAAA0331338</t>
  </si>
  <si>
    <t>COBRO CONCRETES (cession)</t>
  </si>
  <si>
    <t>ROCLA PTY LTD (cession)</t>
  </si>
  <si>
    <t>MAAA0340783</t>
  </si>
  <si>
    <t>MELAOKUHLE TRADING (completion)</t>
  </si>
  <si>
    <t>NQU5000/018/2019-2021</t>
  </si>
  <si>
    <t>CONSTRUCTION OF NQUTHU RESIDENTIAL DEVELOPMENT PHASE 3 –ELECTRICITY</t>
  </si>
  <si>
    <t>MELAOKUHLE TRADING (main contractor)</t>
  </si>
  <si>
    <t>NQU5050/028/2019-2020</t>
  </si>
  <si>
    <t>CONSTRUCTION OF NGQULU COMMUNITY HALL</t>
  </si>
  <si>
    <t>ENDUNENI CONTRACTORS CC</t>
  </si>
  <si>
    <t>MAAA0113308</t>
  </si>
  <si>
    <t>2% discount rate of 14% of project value</t>
  </si>
  <si>
    <t>NQU5050/027/2019-2020</t>
  </si>
  <si>
    <t>CONSTRUCTION OF MNXANGALA COMMUNITY HALL</t>
  </si>
  <si>
    <t>STOMP DA YARD (PTY) LTD (main contractor)</t>
  </si>
  <si>
    <t>MAAA0713156</t>
  </si>
  <si>
    <t>MGEDWANA TRADING ENTERPRISE (sub-contractor)</t>
  </si>
  <si>
    <t>MAAA0076728</t>
  </si>
  <si>
    <t>SPK ENGINEERS (consultant)</t>
  </si>
  <si>
    <t>MAAA0015617</t>
  </si>
  <si>
    <t>5% discount rate of 14% of project value</t>
  </si>
  <si>
    <t>NQU5050/029/2019-2020</t>
  </si>
  <si>
    <t>PRACTICAL COMPLETION OF EZIQHAZENI COMMUNITY HALL</t>
  </si>
  <si>
    <t>SIM AND LUKHO PROPERTY DEVELOPMENT AND CONSTRUCTION</t>
  </si>
  <si>
    <t>MAAA0466850</t>
  </si>
  <si>
    <t>MGAMULE CONSULTING (consultant)</t>
  </si>
  <si>
    <t>MAAA0579904</t>
  </si>
  <si>
    <t>NQU5050/019/2019-2020</t>
  </si>
  <si>
    <t>CONSTRUCTION OF EKUKHANYENI COMMUNITY HALL</t>
  </si>
  <si>
    <t>MAJIKI CONSTRUCTION AND PLANT HIRE</t>
  </si>
  <si>
    <t>MN AFRICA CONSULTING (consultant)</t>
  </si>
  <si>
    <t>MAAA0405942</t>
  </si>
  <si>
    <t>CONATRUCTION OF NKALANKALA COMMUNITY HALL</t>
  </si>
  <si>
    <t>TPL MKHIZE CIVIL (main contractor)</t>
  </si>
  <si>
    <t>MAAA0517653</t>
  </si>
  <si>
    <t>&gt;THE CONTRACT CONTAINS A LETTER OF APPOINTMENT AND ACCEPTANCE, SIGNED BY BOTH PARTIES.
&gt; THE START DATE OF THE CONTRACT HAS BEEN TAKEN FROM THE LETTER OF APPOINTMENT.
&gt; THIS CONTRACT WAS TERMINATES BECAUSE OF POOR PERFOMANCE AND WAS HANDED OVER TO MAJIKI CONSTRUCTION AND PLANT HIRE ON 01/02/2021 TO COMPLETE THE PROJECT AT R963 966.20</t>
  </si>
  <si>
    <t>EKWANDENI PTY LTD (sub-contractor)</t>
  </si>
  <si>
    <t>MAAA1010292</t>
  </si>
  <si>
    <t>NOBESUTHU (cession)</t>
  </si>
  <si>
    <t>INFRA CHAMPS CONSULTING (consultant)</t>
  </si>
  <si>
    <t>MAAA0577017</t>
  </si>
  <si>
    <t xml:space="preserve">
15% dicount rate of 14% of contract value</t>
  </si>
  <si>
    <t>NQU5050/022/2019-2020</t>
  </si>
  <si>
    <t>CONSTRUCTION OF OGAZINI COMMUNITY HALL</t>
  </si>
  <si>
    <t>MCHILOBOMVU CIVILS CONSTRUCTION</t>
  </si>
  <si>
    <t>MAAA0114133</t>
  </si>
  <si>
    <t>THOKOMELA TRADING ( consultant)</t>
  </si>
  <si>
    <t>MAAA0263849</t>
  </si>
  <si>
    <t>1,5% discount of 14% of project value</t>
  </si>
  <si>
    <t>NQU5000/012/2019-2020</t>
  </si>
  <si>
    <t>RE-ADVERT SUPPLY AND INSTALLATION OF GABIONS AND CONCRETE PAVEMENT FOR MAGOGO ROAD</t>
  </si>
  <si>
    <t>SNM TOOLS AND INDUSTRIAL SUPPLIES (PTY) LTD</t>
  </si>
  <si>
    <t>MAAA0527278</t>
  </si>
  <si>
    <t>NQU5000/013/2019-2020</t>
  </si>
  <si>
    <t xml:space="preserve">RE-ADVERT SUPPLY AND INSTALL CONCRETE PAVEMENT SLAB AND INSTALLATION OF GUARDRAIL SYSTEM FOR NOMALANGA ROAD </t>
  </si>
  <si>
    <t>TIBELLO CONTRACTING AND TRADING ENTERPRISES CC</t>
  </si>
  <si>
    <t>MAAA0342819</t>
  </si>
  <si>
    <t>DLV ENGINEERS(cession)</t>
  </si>
  <si>
    <t>NQU349/2018-2019</t>
  </si>
  <si>
    <t>CONSTRUCTION OF MAGABENI (KHULANI) CRECHE - WARD 07</t>
  </si>
  <si>
    <t>BUSIZWE TRADE AND SUPPLIES</t>
  </si>
  <si>
    <t>MAAA0044513</t>
  </si>
  <si>
    <t>CSL CONSULTING (consultant)</t>
  </si>
  <si>
    <t>MAAA0196970</t>
  </si>
  <si>
    <t>NQU5020/210/2015-2015</t>
  </si>
  <si>
    <t>MANGWEBUTHANANI ELECTRIFICATION</t>
  </si>
  <si>
    <t>IZINGODLA ENGINEERING</t>
  </si>
  <si>
    <t>MAAA0317463</t>
  </si>
  <si>
    <t>2020 - 2021</t>
  </si>
  <si>
    <t>CONSTRUCTION OF NKONKONYANE GRAVEL ACCESS ROAD</t>
  </si>
  <si>
    <t>OUR KINGDOM ENGINEERING (main contractor)</t>
  </si>
  <si>
    <t>MAAA0129018</t>
  </si>
  <si>
    <t>SIYOLUGCINA PTY LTD (sub-contractor)</t>
  </si>
  <si>
    <t>MAAA0623748</t>
  </si>
  <si>
    <t>NQU5050/021/2019-2020</t>
  </si>
  <si>
    <t>CONSTRUCTION OF JABAVU COMMUNITY HALL</t>
  </si>
  <si>
    <t>BUSIZWE TRADE AND SUPPLIES (main contractor)</t>
  </si>
  <si>
    <t>MLAMBO TECHNICAL SERVICES (sub-contractor)</t>
  </si>
  <si>
    <t>MAAA0532757</t>
  </si>
  <si>
    <t>CIV TECH ENGINEERS (consultants)</t>
  </si>
  <si>
    <t>MAAA0253704</t>
  </si>
  <si>
    <t>NQU5050/032/2019-2020</t>
  </si>
  <si>
    <t>CONSTRUCTION OF ODUDELA COMMUNITY HALL</t>
  </si>
  <si>
    <t>MCHILOBOMVU CIVILS CONSTRUCTION (main contractor)</t>
  </si>
  <si>
    <t>KHANDELUMESULI PTY LTD ( sub-contractor)</t>
  </si>
  <si>
    <t>MAAA0817932</t>
  </si>
  <si>
    <t>MATLA CONSULTING (consultant)</t>
  </si>
  <si>
    <t>MAAA0074095</t>
  </si>
  <si>
    <t>NQU5000/041/2019-2020</t>
  </si>
  <si>
    <t>CONSTRUCTION OF NQUTHU BULK STORMWATER PHASE 1 -WARD 14</t>
  </si>
  <si>
    <t>NTUNGANI CONSTRUCTION JV XOLI M (main contractor)</t>
  </si>
  <si>
    <t>MAAA0441777</t>
  </si>
  <si>
    <t>DLV ENGINEERS(cession / consultant)</t>
  </si>
  <si>
    <t>FOURWAYS FARMING (cession)</t>
  </si>
  <si>
    <t>MAAA0384906</t>
  </si>
  <si>
    <t>MVELO CIVILS (cession)</t>
  </si>
  <si>
    <t>MAAA0526791</t>
  </si>
  <si>
    <t>SABZIN CATERING AND CONSTRUCTION (cession)</t>
  </si>
  <si>
    <t>MAAA0404344</t>
  </si>
  <si>
    <t>NQU5040/010/2020-2021</t>
  </si>
  <si>
    <t>CONSTRUCTION OF ZALAKWANDE CRECHE</t>
  </si>
  <si>
    <t>KANYENATHI ENTERPRISE (PTY) LTD</t>
  </si>
  <si>
    <t>MAAA0210351</t>
  </si>
  <si>
    <t>SBATA CONSTRUCTION (sub-contractor)</t>
  </si>
  <si>
    <t>MAAA0147569</t>
  </si>
  <si>
    <t>GIBB ENGINEERING (consultant)</t>
  </si>
  <si>
    <t>MAAA0029877</t>
  </si>
  <si>
    <t>MAAA0001293</t>
  </si>
  <si>
    <t>42,8% discount of 14% of the contract value</t>
  </si>
  <si>
    <t>NQU11607/2020-2021</t>
  </si>
  <si>
    <t>RENOVATION OF NONDWENI COMMUNITY HALL</t>
  </si>
  <si>
    <t>ZIME-DU TRADING ENTERPRISE</t>
  </si>
  <si>
    <t>MAAA0074849</t>
  </si>
  <si>
    <t>NQU11610/2020-2021</t>
  </si>
  <si>
    <t>RENOVATION OF KWANYEZI COMMUNITY HALL</t>
  </si>
  <si>
    <t>CAPSTAN TRADING 898</t>
  </si>
  <si>
    <t>MAAA0039636</t>
  </si>
  <si>
    <t>NQULM12/2020/2021</t>
  </si>
  <si>
    <t>CONSTRUCTION OF NGWETSHANA COMMUNITY HALL</t>
  </si>
  <si>
    <t>MAJIKI CONSTRUCTION AND PLANT HIRE (main contractor)</t>
  </si>
  <si>
    <t>SIYOLUGCINA (sub-contractor)</t>
  </si>
  <si>
    <t>KHUSI PROJECTS (consultants)</t>
  </si>
  <si>
    <t>MAAA0168435</t>
  </si>
  <si>
    <t>4% discount of 14% of construction value</t>
  </si>
  <si>
    <t>NQU376/2019-2019</t>
  </si>
  <si>
    <t>NGONINI SPORTFIELD</t>
  </si>
  <si>
    <t>2021 - 2022</t>
  </si>
  <si>
    <t>NQULM13/2021-2022</t>
  </si>
  <si>
    <t>UPGRADE OF SPRINGLAKE</t>
  </si>
  <si>
    <t>ZANOTHA PROJECTS</t>
  </si>
  <si>
    <t>MAAA0689189</t>
  </si>
  <si>
    <t>TECHNICAL AND INFRASTRUCTURE SERVICES</t>
  </si>
  <si>
    <t>NQULM06/2021-2022</t>
  </si>
  <si>
    <t>CONSTRUCTION OF NSUBENI ROAD</t>
  </si>
  <si>
    <t>MAAA0320490
MAAA0886666</t>
  </si>
  <si>
    <t>VANGISA CONSULTING( consultant)</t>
  </si>
  <si>
    <t>MAJIKI CONSTRUCTION</t>
  </si>
  <si>
    <t>13% dicount rate of 14% of contract value</t>
  </si>
  <si>
    <t>NQULM12/2021-2022</t>
  </si>
  <si>
    <t>MAAA0130916</t>
  </si>
  <si>
    <t>MAAA0096596</t>
  </si>
  <si>
    <t>NQULM10/2021-2022</t>
  </si>
  <si>
    <t>CONSTRUCTION OF NTUZUMA ACCESS ROAD</t>
  </si>
  <si>
    <t>OUR KINGDOM ENGINEERING ( main contractor)</t>
  </si>
  <si>
    <t>CONSTRUCTION OF GUBAZI HALL</t>
  </si>
  <si>
    <t>SELE AND MUSA TRADING AND TOURS</t>
  </si>
  <si>
    <t>MAAA0141347</t>
  </si>
  <si>
    <t>DLV ENGINEERS ( consultant)</t>
  </si>
  <si>
    <t>GOLDEN MILLENIUM TRADING</t>
  </si>
  <si>
    <t>MAAA0710596</t>
  </si>
  <si>
    <t>KHUSI PROJECTS (consultant)</t>
  </si>
  <si>
    <t>NQULM08/2021-2022</t>
  </si>
  <si>
    <t>CONSTRUCTION OF TLOKWENI CRECHE</t>
  </si>
  <si>
    <t>CONSTRUCTION OF SECTION 4 CRECHE</t>
  </si>
  <si>
    <t>KWAMVELIHLE TRADING</t>
  </si>
  <si>
    <t>MAAA0835755</t>
  </si>
  <si>
    <t>MAAA0441449</t>
  </si>
  <si>
    <t>KHUSI PROJECTS</t>
  </si>
  <si>
    <t>NQU0040/322/2017 - OCEAN DAWN TRADING AND PROJECTS</t>
  </si>
  <si>
    <t>PROVISION OF SECURITY SERVICES FOR 36 MONTHS</t>
  </si>
  <si>
    <t>OCEAN DAWN TRADING AND AND PROJECTS</t>
  </si>
  <si>
    <t>MAAA0112428</t>
  </si>
  <si>
    <t>INFRASTRUCTURE &amp; ECONOMIC DEVELOPMENT</t>
  </si>
  <si>
    <t>PROVISION</t>
  </si>
  <si>
    <t>&gt;THE CONTRACT CONTAINS A LETTER OF APPOINTMENT AND ACCEPTANCE, SIGNED BY BOTH PARTIES.
&gt; THE START DATE OF THE CONTRACT HAS BEEN TAKEN FROM THE LETTER OF APPOINTMENT.
&gt; ON 13 MARCH 2019, THEY WERE ISSUED A LETTER OF WITHDRAWAL OF GUARDS TO SOME OF THE SITES AND OTHER GUARDS WERE ADDED ON SOME OF THE SITES.</t>
  </si>
  <si>
    <t>NQU0030/316/2017-UMHLABA GEOMATICS INC</t>
  </si>
  <si>
    <t>GENERAL VALUATION, PREPARATION AND UPDATING OF VALUATION ROLL FOR IMPLEMENTATION ON 1 JULY 2018 TO 30 JUNE 2023</t>
  </si>
  <si>
    <t>UMHLABA GEOMATICS INC</t>
  </si>
  <si>
    <t>MAAA0187208</t>
  </si>
  <si>
    <t>CONSULTING FEES</t>
  </si>
  <si>
    <t>&gt;THE CONTRACT CONTAINS A LETTER OF APPOINTMENT AND ACCEPTANCE, SIGNED BY BOTH PARTIES.
&gt; THE START DATE OF THE CONTRACT HAS BEEN TAKEN FROM THE LETTER OF APPOINTMENT.
&gt; THIS PROJECT WILL BE IMPLEMENTED FROM 1 JULY 2018 TO 30 JUNE 2023.</t>
  </si>
  <si>
    <t>NQU0022/353/2018_MOBILE TELEPHONE NETWORKS</t>
  </si>
  <si>
    <t>SUPPLY AND DELIVER MODEMS, 3G, 4G, LTE NETWORK</t>
  </si>
  <si>
    <t>MOBILE TELEPHONE NETWORKS</t>
  </si>
  <si>
    <t>MAAA0034729</t>
  </si>
  <si>
    <t>CORPORATE SERVICES</t>
  </si>
  <si>
    <t>IT SERVICES</t>
  </si>
  <si>
    <t>ONCE OFF</t>
  </si>
  <si>
    <t>&gt;THE CONTRACT CONTAINS A LETTER OF APPOINTMENT AND ACCEPTANCE, SIGNED BY BOTH PARTIES.
&gt; THE START DATE OF THE CONTRACT HAS BEEN TAKEN FROM THE LETTER OF APPOINTMENT.      &gt; THIS WAS A ONCE OFF CONTRACT</t>
  </si>
  <si>
    <t>NQU0022/351/2018_DM ICT SERVICES</t>
  </si>
  <si>
    <t>SUPPLY, INSTALL AND CONFIGURE DISASTER RECOVERY SOLUTRION</t>
  </si>
  <si>
    <t>DM ICT SERVICES</t>
  </si>
  <si>
    <t>MAAA0155000</t>
  </si>
  <si>
    <t>NQU0022/350/2018_MOBILE TELEPHONE NETWORKS</t>
  </si>
  <si>
    <t>SUPPLY, INSTALL AND CONFIGER PABX SYSTEM FOR 60 MONTHS</t>
  </si>
  <si>
    <t>MOBILE TELEPHONE NETWORKS T/A MTN SA</t>
  </si>
  <si>
    <t>NQU0030/352/2018_ZAMASWAZI WASTE REMOVAL</t>
  </si>
  <si>
    <t>OPERATION OF  A BUY BACK CENTRE</t>
  </si>
  <si>
    <t>ZAMASWAZI WASTE REMOVAL</t>
  </si>
  <si>
    <t>MAAA0659588</t>
  </si>
  <si>
    <t>PLANNING &amp; DEVELOPMENT</t>
  </si>
  <si>
    <t>OTHER</t>
  </si>
  <si>
    <t>&gt;THE CONTRACT CONTAINS A LETTER OF APPOINTMENT AND ACCEPTANCE, SIGNED BY BOTH PARTIES.  
&gt; THE START DATE OF THE CONTRACT HAS BEEN TAKEN FROM THE LETTER OF APPOINTMENT.</t>
  </si>
  <si>
    <t>NQU0050/370/2018-2019</t>
  </si>
  <si>
    <t>SUPPLY, DELIVER AND INSTALL WENDY HOUSES FOR A PERIOD OF 36 MONTHS</t>
  </si>
  <si>
    <t>KUHLEZAH TRADING AND PROJECTS</t>
  </si>
  <si>
    <t>MAAA0374246</t>
  </si>
  <si>
    <t>NQU0020/379/2018-2019</t>
  </si>
  <si>
    <t>PROVISION OF CASH IN TRANSIT FOR NQUTHU MUNICIPALITY FOR A PERIOD OF 36 MONTHS</t>
  </si>
  <si>
    <t>ABSA BANK LIMITED</t>
  </si>
  <si>
    <t>MAAA0035251</t>
  </si>
  <si>
    <t>FINANCE</t>
  </si>
  <si>
    <t>PROVISION OF ONLINE VENDING FOR NQUTHU MUNICIPALITY FOR A PERIOD OF 36 MONTHS</t>
  </si>
  <si>
    <t>ONTEC SYSTEMS (PTY) LTD</t>
  </si>
  <si>
    <t>MAAA0217374</t>
  </si>
  <si>
    <t>NQU0030/371/2018-2019</t>
  </si>
  <si>
    <t>REVIEW OF NQUTHU SPATIAL DEVELOPMENT FRAMEWORK AND URBAN DESIGN FRAMEWORK</t>
  </si>
  <si>
    <t>NANGA DEVELOPMENT CONSULTANTS (PTY) LTD</t>
  </si>
  <si>
    <t>MAAA0483100</t>
  </si>
  <si>
    <t>PLANNING AND ECONOMIC DEVELOPMENT</t>
  </si>
  <si>
    <t>CONSULTANTS</t>
  </si>
  <si>
    <t>NQU0030/377/2018-2019</t>
  </si>
  <si>
    <t>SERVICE PROVIDER TO UNDERTAKE PROJECT HOUSING SECTOR PLAN FOR NQUTHU MUNICIPALITY</t>
  </si>
  <si>
    <t>BLACK CUBANS CONSULTING</t>
  </si>
  <si>
    <t>MAAA0459384</t>
  </si>
  <si>
    <t>NQU0022/006/2019- 2020</t>
  </si>
  <si>
    <t>PROVISION TO HOST WEBSITE &amp; BACKUP WEBSITE FOR 36 MONTHS FOR NQUTHU MUNICIPALITY</t>
  </si>
  <si>
    <t>JOREN COMMUNICATIONS</t>
  </si>
  <si>
    <t>MAAA0127241</t>
  </si>
  <si>
    <t>NQU0020/389/2018-2019</t>
  </si>
  <si>
    <t>PROVISION OF PRINTING AND POSTING OF STATEMENTS FOR NQUTHU MUNICIPALITY FOR THE PERIOD OF 36 MONTHS</t>
  </si>
  <si>
    <t>CAB HOLDINGS (PTY) LTD</t>
  </si>
  <si>
    <t>MAAA0011496</t>
  </si>
  <si>
    <t>NQU0040/374/2018-2019</t>
  </si>
  <si>
    <t>PROVISION OF SHORT-TERM INSURANCE FOR THE PERIOD OF 36 MONTHS</t>
  </si>
  <si>
    <t>KUNENE MAKOPO RISK SOLUTIONS (PTY) LTD</t>
  </si>
  <si>
    <t>MAAA0090449</t>
  </si>
  <si>
    <t>NQU0018/390/2018- 2019</t>
  </si>
  <si>
    <t>PROVISION OF INTERNAL AUDIT SERVICES FOR THE PERIOD OF 36 MONTHS FOR NQUTHU MUNICIPALITY</t>
  </si>
  <si>
    <t>NTSHIDI &amp; ASSOCIATES</t>
  </si>
  <si>
    <t>MAAA0217199</t>
  </si>
  <si>
    <t>CONSULTING SERVICES</t>
  </si>
  <si>
    <t>NQU0040/385/2018- 2019</t>
  </si>
  <si>
    <t>PROVISION OF TRACKING DEVICE FOR 36 MONTHS FOR NQUTHU MUNICIPALITY</t>
  </si>
  <si>
    <t>CTRACK MZANSI (PTY) LTD</t>
  </si>
  <si>
    <t>MAAA0018995</t>
  </si>
  <si>
    <t>VEHICLES</t>
  </si>
  <si>
    <t>NQU0030/024/2019-2020</t>
  </si>
  <si>
    <t>COLLECTION OF SPATIAL DATA FOR NQUTHU MUNCIPALITY</t>
  </si>
  <si>
    <t>FUZE GEOMATICS</t>
  </si>
  <si>
    <t>MAAA0327322</t>
  </si>
  <si>
    <t>NQU0030/023/2019-2020</t>
  </si>
  <si>
    <t>DEVELOPMENT OF GIS POLICY AND STRATEGY</t>
  </si>
  <si>
    <t>ESRI SOUTH AFRICA (PTY) LTD</t>
  </si>
  <si>
    <t>MAAA0003912</t>
  </si>
  <si>
    <t>NQU0056/382/2018-2019</t>
  </si>
  <si>
    <t>SUPPLY AND INSTALLATION OF LIGHTNING CONDUCTORS FOR THE PERIOD OF 24 MONTHS</t>
  </si>
  <si>
    <t>TRADEWIND MAINTENANCE AND SUPPLY CC</t>
  </si>
  <si>
    <t>MAAA0187946</t>
  </si>
  <si>
    <t>PROVISION OF SANITARY BINS FOR THE PERIOD OF 36 MONTHS</t>
  </si>
  <si>
    <t>BIDVEST STEINER</t>
  </si>
  <si>
    <t>MAAA0258992</t>
  </si>
  <si>
    <t>NQU0063/042/2020-2021</t>
  </si>
  <si>
    <t>PROVIDE SERVICES ON LICENSE SUPPORT AND MATAINANCE FOR 36 MONTHS</t>
  </si>
  <si>
    <t>NEO SOLUTIONS (PTY) LTD</t>
  </si>
  <si>
    <t>MAAA0022648</t>
  </si>
  <si>
    <t>NQU0063/043/2020-2021</t>
  </si>
  <si>
    <t>MAINTENANCE ANIMAL POUND FOR THE PERIOD OF 36 MONTHS</t>
  </si>
  <si>
    <t>COW CATCHERS CC</t>
  </si>
  <si>
    <t>MAAA0310230</t>
  </si>
  <si>
    <t>NQU0021/006/2020-2021</t>
  </si>
  <si>
    <t xml:space="preserve">PROVISION OF SMS MESSAGING </t>
  </si>
  <si>
    <t>TELKOM SA SOC LIMITED</t>
  </si>
  <si>
    <t>MAAA0646474</t>
  </si>
  <si>
    <t>NQU0040/004/2020-2021</t>
  </si>
  <si>
    <t>SUPPLY AND DELIVERY OF BATTERIES AND FITMENT OF TYRES</t>
  </si>
  <si>
    <t>NISUCRAFT (PTY) LTD</t>
  </si>
  <si>
    <t>MAAA0978078</t>
  </si>
  <si>
    <t>NQU0020/030/2019-2020</t>
  </si>
  <si>
    <t>PROVISION OF TRAVEL AGENT SERVICES FOR THE PERIOD OF 36 MONTHS</t>
  </si>
  <si>
    <t>ADVENTURE TRAVEL</t>
  </si>
  <si>
    <t>NQU0040/001/2020-2021</t>
  </si>
  <si>
    <t>SUPPLY AND DELIVERY OF CLEANING MATERIAL FOR A PERIOD OF 36 MONTHS</t>
  </si>
  <si>
    <t>MNUMZANE GROUP CC</t>
  </si>
  <si>
    <t>MAAA0140385</t>
  </si>
  <si>
    <t>BRAND PARTNERS (PTY) LTD</t>
  </si>
  <si>
    <t>MAAA0222166</t>
  </si>
  <si>
    <t>NQU0021/044/2019-2020</t>
  </si>
  <si>
    <t>LEASE OF MULTI-FUNCTIONAL PRINTING SERVICES FOR THE PERIOD OF 36 MONTHS</t>
  </si>
  <si>
    <t>XTEC PMB (PTY) LTD</t>
  </si>
  <si>
    <t>MAAA0166428</t>
  </si>
  <si>
    <t>LEASE</t>
  </si>
  <si>
    <t>SCM/03/2021</t>
  </si>
  <si>
    <t>DEVELOPMENT OF HLATHI DAM PRECINCT PLAN</t>
  </si>
  <si>
    <t>ZIPHELELE PLANNING &amp; ENVIRONMENTAL CONSULTANCY</t>
  </si>
  <si>
    <t>MAAA0114162</t>
  </si>
  <si>
    <t>NQU11622/2020-2021</t>
  </si>
  <si>
    <t>PANEL FOR PROVISION OF SECURITY FOR THE PERIOD OF 36 MONTHS</t>
  </si>
  <si>
    <t>SIYEJABULA SECURITY SOLUTIONS</t>
  </si>
  <si>
    <t>MAAA0004711+E10:E15</t>
  </si>
  <si>
    <t>SECURITY SERVICES</t>
  </si>
  <si>
    <t>FEZILE SECURITY SERVICES</t>
  </si>
  <si>
    <t>MAAA0383314</t>
  </si>
  <si>
    <t>SIZOWAKHA SECURITY &amp; CLEANING SERVICES</t>
  </si>
  <si>
    <t>MAAA138867</t>
  </si>
  <si>
    <t>QOMKUFA SECURITY</t>
  </si>
  <si>
    <t>MAAA0454914</t>
  </si>
  <si>
    <t>OCEAN DAWN SECURITY</t>
  </si>
  <si>
    <t>NQU6046/2020-2021</t>
  </si>
  <si>
    <t>PANEL FOR VIP PROTECTION FOR A PERIOD OF 36 MONTHS</t>
  </si>
  <si>
    <t>IZIKHOVA SECURITY SERVICES CC</t>
  </si>
  <si>
    <t>MAAA0004711</t>
  </si>
  <si>
    <t>MAAA0217873</t>
  </si>
  <si>
    <t>TECHNICAL SERVICES</t>
  </si>
  <si>
    <t>NQULM14/2020-2021</t>
  </si>
  <si>
    <t>PROVISION OF ASSET MANAGEMENT SYSTEM AND SUPPORT FOR THE PERIOD OF 36 MONTHS</t>
  </si>
  <si>
    <t>SDM ASSET MANAGEMENT AND CONSULTING</t>
  </si>
  <si>
    <t>MAAA0578617</t>
  </si>
  <si>
    <t>CCG SYSTEMS (PTY) LTD</t>
  </si>
  <si>
    <t>MAAA0082293</t>
  </si>
  <si>
    <t>MAAA0881144</t>
  </si>
  <si>
    <t>NQULM17/2020-2021</t>
  </si>
  <si>
    <t>PROVISION OF HR AND PAYROLL SYSTEM FOR A PERIOD OF 36 MONTHS</t>
  </si>
  <si>
    <t>NQULM15/2020-2021</t>
  </si>
  <si>
    <t>PROVISION OF PANEL OF SERVICE PROVIDERS TO DO AFS FOR THE PERIOD OF 36 MONTHS</t>
  </si>
  <si>
    <t>NKOSINGIPHE INKAZIMULO TRADING AND PROJECTS</t>
  </si>
  <si>
    <t>MAAA0256205</t>
  </si>
  <si>
    <t>DUCHARNE ASSET MANAGEMENT AND ACCOUNTING (PTY) LTD</t>
  </si>
  <si>
    <t>MAAA0025273</t>
  </si>
  <si>
    <t>SHUMBA INCORPORATED</t>
  </si>
  <si>
    <t>MAAA0015907</t>
  </si>
  <si>
    <t>NKA MANAGEMENT SERVICES</t>
  </si>
  <si>
    <t>MAAA0259850</t>
  </si>
  <si>
    <t>UMNOTHO BUSINESS CONSULTANTS</t>
  </si>
  <si>
    <t>MAAA0780543</t>
  </si>
  <si>
    <t>NQU17054/2020- 2021</t>
  </si>
  <si>
    <t>RE-ADVERT PROVISION OF UNCAPPED INTERNET SERVICESFOR A PERIOD OF 36 MONTHS</t>
  </si>
  <si>
    <t>EMALANGENI TECHNOLOGIES (PTY) LTD</t>
  </si>
  <si>
    <t>MAAA0000037</t>
  </si>
  <si>
    <t>IDWALADWALA TRADING</t>
  </si>
  <si>
    <t>MAAA0029782</t>
  </si>
  <si>
    <t>PROVISION OF EXTERNAL DOCUMENTS FOR A PERIOD OF 36 MONTHS</t>
  </si>
  <si>
    <t>THE DOCUMENT WAREHOUSE PTY LTD</t>
  </si>
  <si>
    <t>MAAA0015694</t>
  </si>
  <si>
    <t>Total</t>
  </si>
  <si>
    <t>SCM/262/2016-2017</t>
  </si>
  <si>
    <t>EMAIL AND DNS HOSTING</t>
  </si>
  <si>
    <t>VANTAGE</t>
  </si>
  <si>
    <t>MAAA0381659</t>
  </si>
  <si>
    <t>COPERATE SERVICES</t>
  </si>
  <si>
    <t>rate based</t>
  </si>
  <si>
    <t>NQU0000/64/2009/SEBATA MUNICIPAL SOLUTIONS</t>
  </si>
  <si>
    <t>EMS HOSTED/ EMS SUPPORT/SEBTA CONNECT/ WEBSITE HOSTING</t>
  </si>
  <si>
    <t>MAAA0024130</t>
  </si>
  <si>
    <t>NQULM/2/20-21</t>
  </si>
  <si>
    <t>PANEL OF SERVICE PROVIDERS TO HIRE PLANT FOR A PERIOD OF 36 MONTHS</t>
  </si>
  <si>
    <t>SUKUMASAKHE</t>
  </si>
  <si>
    <t>SHAYSHE ENTERPRISE</t>
  </si>
  <si>
    <t>MULTI-SOLUTIONS</t>
  </si>
  <si>
    <t>SURE BOSS TRADING AND PROJECTS</t>
  </si>
  <si>
    <t>OURKINGDOM ENGINEERING AND PROJECTS</t>
  </si>
  <si>
    <t>ASIZIQALELE CONTRACTORS</t>
  </si>
  <si>
    <t>ZINGEZETHU TRADING &amp; PROJECTS 44 CC JV THUMAMINA</t>
  </si>
  <si>
    <t>AQUA TRANSPORT AND PLANT HIRE</t>
  </si>
  <si>
    <t>NQU376/2018-2019</t>
  </si>
  <si>
    <t>TURNKEY PROJECT: ELECTRIFICATION OF EQHUDENI AREA IN WARD 01</t>
  </si>
  <si>
    <t xml:space="preserve">THOKOMELA ENGINEERING CONSULTANTS (PTY) LTD </t>
  </si>
  <si>
    <t>SUPPLY AND DELIVERY OF PAUPER BURIAL COFFINS</t>
  </si>
  <si>
    <t>SASALETHU FUNERAL SERVICES</t>
  </si>
  <si>
    <t>contract amount paid as at  June 2019 (AMOUNT Paid)</t>
  </si>
  <si>
    <t>NQU0030/269/2015_MABUNE CONSULTING</t>
  </si>
  <si>
    <t>SOCIAL SURVEY ON BACKLOG FOR ALL NQUTHU WARDS</t>
  </si>
  <si>
    <t>MABUNE CONSULTING CC</t>
  </si>
  <si>
    <t>TECHNICAL &amp; INFRASTRUCTURE SERVICES</t>
  </si>
  <si>
    <t>EXPIRED</t>
  </si>
  <si>
    <t>NQU0030/200/2014/ENDUTRAC CC</t>
  </si>
  <si>
    <t>SUPPLY AND DELIVERY OF NEW 4X4 DIESEL TRACTOR WITH FARMING IMPLEMENTS</t>
  </si>
  <si>
    <t>ENDUTRAC CC</t>
  </si>
  <si>
    <t>MAAA0037205</t>
  </si>
  <si>
    <t>PLANNING</t>
  </si>
  <si>
    <t xml:space="preserve">FARMING EQUIPMENT &amp; SUPPLIES </t>
  </si>
  <si>
    <t>THEMBA SHANDU</t>
  </si>
  <si>
    <t>&gt;THERE IS A SIGNED COPY OF THE GENERAL CONDITIONS OF CONTRACT.
&gt;CONTRACT VALUE TAKEN FROM FORM OF OFFER AND ACCEPTANCE OF THE (DOCUMENT PAGES NOT NUMBERED)
&gt;THE AMOUNT PAID IS TAKEN FROM THE EXPENDITURE REPORT FOR 2014-2015 FINANCIAL YEAR. 
&gt;THERE ARE NO EARLY TERMINATION, PAYMENT MILESTONES/DELIVERABLE AND PAYMENT PENALTY CLAUSES.</t>
  </si>
  <si>
    <t>NQU5000/194/2014/SIYAJULUKA TRADING ENTERPRISE CC</t>
  </si>
  <si>
    <t>CONSTRUCTION OF NSEKWENI ROAD</t>
  </si>
  <si>
    <t>SIYAJULUKA TRADING ENTERPRISE CC</t>
  </si>
  <si>
    <t>MAAA0171029</t>
  </si>
  <si>
    <t>YES</t>
  </si>
  <si>
    <t>&gt;THERE IS A SIGNED COPY OF THE GENERAL CONDITIONS OF CONTRACT.
&gt;CONTRACT VALUE TAKEN FROM PAGE  OF THE  (GCC OR APPOINTMENT LETTER)
&gt;THE AMOUNT OF R1,561,857.00 IS A TOTAL OF TWO PAYMENTS; R1,000,863 (04 MAY 2015) AND R560,994 (01 JULY 2015). THIS AMOUNT PAID IS TAKEN FROM THE EXPENDITURE REPORT FOR (YEAR) OR PAYMENT VOUCHERS FOR (YEAR/MONTH)
&gt;THERE ARE NO EARLY TERMINATIONAND PAYMENT PENALTY CLAUSES.
&gt; ACCORDING TO MSIZI GCABASHE, TECHNICAL DIRECTOR FOR THE MUNICIPALITY, PROJECTS OF THIS NATURE AND MAGNITUDE ARE GIVEN 6 MONTHS TO COMPLETE; HENCE THE STATED END DATE.
&gt; THE DEPARTMENT FOR THIS CONTRACT IS ACTUALLY ROADS (5000) BUT SINCE THIS IS NOT PROVIDED FOR IN THE DROP-DOWN ARROW, THIS HAS BEEN ALLOCATED TO TECHNICAL AND INFRASTRUCTURE SERVICES.</t>
  </si>
  <si>
    <t>NQU0080/127/2013/V.O.NGIDI CONSTRUCTION AND SUPPLIES</t>
  </si>
  <si>
    <t>CONSTRUCTION OF NKANDE SPORTS FACILITY</t>
  </si>
  <si>
    <t>V.O.NGIDI CONSTRUCTION AND SUPPLIES</t>
  </si>
  <si>
    <t>MAAA0383566</t>
  </si>
  <si>
    <t>COMMUNITY &amp; SOCIAL SERVICES</t>
  </si>
  <si>
    <t>&gt;AMOUNT OF R2 829 655 PAID AS 2016/09/30 OF WHICH (R399 605.33) PAID ON 2016/09/30 
&gt;THE CONTRACT VALUE AND THE DURATION OF THE CONTRACT BOTH APPEAR ON THE FRONT PAGE (NOT NUMBERED) OF THE BID DOCUMENT.
&gt;THERE IS A SIGNED COPY OF THE GENERAL CONDITIONS OF CONTRACT.
&gt; PAYMENT MILESTONES ARE FOUND ON DOCUMENT C2.1 (PRICING INSTRUCTIONS)
&gt; DELIVERABLES ARE OBTAINABLE FROM DOCUMENT C2 (THE LAST PAGE) -BILL OF QUANTITIES)</t>
  </si>
  <si>
    <t>NQU5000/191/2014/VALOTECH TECHNOLOGIES</t>
  </si>
  <si>
    <t>SUPPLY AND CONSTRUCT A 1.2KM ROAD USING NON-CONVENTIONAL STABILISATION PRODUCTS AS AN ALTERNATIVE</t>
  </si>
  <si>
    <t>VALOTECH TECHNOLOGIES</t>
  </si>
  <si>
    <t>MAAA0028144</t>
  </si>
  <si>
    <t xml:space="preserve">
&gt;THE CONTRACT VALUE APPEARS ON PAGE 7 OF THE FORM OF OFFER AND ACCEPTANCE.
&gt;THE DURATION IS FOUND ON THE FRONT PAGE (NOT NUMBERED) OF THE BID DOCUMENT.
&gt; THERE IS A SIGNED COPY OF THE GENERAL CONDITIONS OF CONTRACT.
&gt; DELIVERABLES ARE CLEARLY REFLECTED ON THE DOCUMENT MARKED "PROJECT DESCRIPTION" (NOT NUMBERED.
&gt; PAYMENT DETAILS ARE FOUND ON PAGE 35 (CLAUSE 16) UNDER THE HEADING "PAYMENT"</t>
  </si>
  <si>
    <t>NQU0080/100/2013/RURAL PUMPS</t>
  </si>
  <si>
    <t>EXTENSION OF NQUTHU MUNICIPAL OFFICES</t>
  </si>
  <si>
    <t>RURAL PUMPS</t>
  </si>
  <si>
    <t>MAAA0280348</t>
  </si>
  <si>
    <t>OFFICE OF THE MUNICIPAL MANAGER</t>
  </si>
  <si>
    <t>&gt;A TOTAL AMOUNT OF R 10 384 526.00 PAID AS AT 2016/08/25.
&gt;THE BID DOCUMENT STATED TO BE A 12 MONTH CONTRACT. JUDGING BY PAYMENTS, IT IS STILL ON-GOING BUT THERE IS NO EVIDENCE OF CONTRACT EXTENSION OR EVEN PENALTIES
&gt;THERE IS A BALANCE OF R4 131 224.00</t>
  </si>
  <si>
    <t>NQU0056/182/3/2014/VEXOSCORE</t>
  </si>
  <si>
    <t>SUPPLY AND DELIVERY OF BRAND NEW VEHICLES</t>
  </si>
  <si>
    <t>VEXOSCORE</t>
  </si>
  <si>
    <t>MAAA0074367</t>
  </si>
  <si>
    <t xml:space="preserve">&gt;THIS CONTRACT HAS TWO CONTRACTS IN ONE. CONTRACT 182 HAS A VALUE OF R2,803,136.50 AND CONTRACT 183 HAS A VALUE OF R1,696,730.39. TWO PAYMENTS OF R1,401,568 EACH WERE RESPECTIVELY MADE ON THE 29 JUNE 2015 AND 10 SEPTEMBER 2015. THESE IN TURN ARE RESPECTIVELY 2014-2015 AND 2015-2016 FINANCIAL YEARS.
&gt;THERE IS A SIGNED COPY OF THE GENERAL CONDITIONS OF CONTRACT.
</t>
  </si>
  <si>
    <t>NQU5050/188/2014/LAKHIMU INVESTMENTS</t>
  </si>
  <si>
    <t>CONSTRUCTION OF MANXILI HALL (WARD 01)</t>
  </si>
  <si>
    <t>LAKHIMU INVESTMENTS</t>
  </si>
  <si>
    <t>MAAA0161566</t>
  </si>
  <si>
    <t>&gt;CONTRACT VALUE HAS BEEN TAKEN FROM THE SIGNED COPY OF THE TENDER DOCUMENT (COVER PAGE).
&gt;AN AMOUNT OF R1,066,996.00 HAS ALREADY BEEN PAID AND IS BROKEN DOWN AS PER FOLLOWING DATES, TAKEN FROM THE EXPENDITURE REPORT:
&gt;R296,709.51 -01 JULY 2015;  R139,127.31 -31 JULY 2015
&gt;164.587.50 -28 AUGUST 2015       223,873.20 -30 SEPT 2015
&gt;242,698.59 -29 OCTOBER 2015.
&gt; 5050 IS A LEDGER CODE FOR HALLS SINCE THIS IS A CONTRACT FOR BUILDING OF A COMMUNITY HALL. THIS IS NOT CATERED FOR IN THIS REGISTER SO WE ALLOCATE THIS TO INFRASTRUCTURE AND ECONOMIC DEVELOPMENT.</t>
  </si>
  <si>
    <t>NQU0080/168/2013/VOLT CONSULTING ENGINEERS</t>
  </si>
  <si>
    <t>DESIGN AND PROJECT MANAGEMENT OF NOMATHINTA ELECTRIFICATION</t>
  </si>
  <si>
    <t>VOLT CONSULTING ENGINEERS</t>
  </si>
  <si>
    <t>MAAA0206966</t>
  </si>
  <si>
    <t>CONSULTING &amp; ENGINEERING SERVICES</t>
  </si>
  <si>
    <t>THE CONTRACT VALUE FOR THIS PROJECT IS REFLECTED ON PAGE 2 OF THE INVITATION TO BID AS R630,000.
&gt; THE CONTRACT PERIOD (ACCORDING TO THE TECHNICAL DIRECTOR -MSIZI GCABASHE) IS 12 WEEKS
&gt;ACCORDING TO THE FORM OF OFFER AND ACCEPTANCE (PAGE 43)THE START DATE IS 11 JUNE 2014 AND THE END DATE IS 10 SEPTEMBER 2014 ACCORDING TO MISS SINIKEZIWE ZULU (SCM MANAGER).
&gt;A PAYMENT OF R372,000 WAS EFFECTED ON THE 4th OF MAY 2015 AS REFLECTED ON THE EXPENDITURE REPORT OF 2014 - 2015 FINANCIAL YEAR.
&gt; 0080 IS A CODE FOR BUILDINGS IN THE LEDGER BUT SINCE THIS IS A CONTRACT FOR THE ELECTRIFICATION OF AN AREA WE ALLOCATE IT TO PLANNING AND COMMUNITY DEVELOPMENT.</t>
  </si>
  <si>
    <t>NQU0080/178/2013/HAMSA CONSULTING ENGINEERS</t>
  </si>
  <si>
    <t>DESIGN, SUPERVISION AND PROJECT MANAGEMENT FOR THE INSTALLATION OF 4 FLOOD LIGHTS IN WARD 6 AND 14 (NQUTHU)</t>
  </si>
  <si>
    <t>HAMSA CONSULTING ENGINEERS</t>
  </si>
  <si>
    <t>MAAA0030666</t>
  </si>
  <si>
    <t>SAFETY &amp; SECURITY</t>
  </si>
  <si>
    <t xml:space="preserve">THERE IS A SIGNED COPY OF THE GENERAL CONDITIONS OF CONTRACT.
&gt; THE CONTRACT PERIOD; ACCORDING TO THE TECHNICAL DIRECTOR -MSIZI GCABASHE IS 12 WEEKS. THIS IS APPLICABLE TO MOST CONTRACTS PERTAINING TO ENGINEERING DESIGN.
&gt; 0080 IS A CODE FOR BUILDINGS IN THE LEDGER BUT SINCE THIS IS A CONTRACT FOR THE LIGHTING AND FLOODING WITH LIGHTS OF AN AREA WE ALLOCATE IT TO SAFETY AND SECURITY.
</t>
  </si>
  <si>
    <t>NQU0040/185/2014/OCEAN DAWN TRADING CC</t>
  </si>
  <si>
    <t>PROVISION OF SECURITY SERVICES AT NQUTHU MUNICIPALITY OFFICES FOR THE PERIOD OF 3 YEARS (36 MONTHS)</t>
  </si>
  <si>
    <t>OCEAN DAWN TRADING &amp; PROJECTS CC</t>
  </si>
  <si>
    <t>&gt;THE AMOUNT ALREADY PAID AMOUNTS TO R1,295,199 AND IT IS MADE UP OF THE FOLLOWING PAYMENTS:
&gt; R257,355.00 FEBRUARY 10 2015 (EXPENDITURE REPORT 2014-2015)
&gt; R254,505.00 (JULY 1 2015)    R254,505.00 (AUGUST 12 2015)
&gt; R264,417.44 SEPT 4 2015    R264,417.44 OCT 6 2015
&gt; THE LATTER FOUR PAYMENTS APPEAR ON THE EXPENDITURE REPORT    2015-2016
&gt;THERE IS A SIGNED COPY OF THE GENERAL CONDITIONS OF CONTRACT.
&gt; ACCORDING TO THE LEDGER 0040 IS FOR ADMIN BUT THE SERVICE IN THIS CONTRACT PERTAINS TO THE GUARDING OF AND PROTECTING MUNICIPAL OFFICES AND PROPERTY HENCE THE ALLOCATION TO THE OFFICE OF THE MUNICIPAL MANAGER.                  &gt; THIS CONTRACT WAS EXTENDED WITH 3 MONTHS ENDING ON 30 APRIL 2018</t>
  </si>
  <si>
    <t>NQU0080/167/2013/PHILANABANTU TRADING CC</t>
  </si>
  <si>
    <t>CONSTRUCTION OF VULAMEHLO CAUSEWAY</t>
  </si>
  <si>
    <t>PHILANABANTU TRADING CC</t>
  </si>
  <si>
    <t>MAAA0158328</t>
  </si>
  <si>
    <t>&gt;TOTAL TENDER AMOUNT APPEARS ON THE COVER OF THE ENDER DOCUMENT AS WELL AS ON PAGE C2.2.14 OF THE BILL OF QUANTITIES.
&gt;DELIVERABLES ARE ALSO INDICATED IN THIS DOCUMENT (BILL OF QUANTITIES)
&gt;START DATE IS TAKEN FROM PAGE 4 OF THE ACCEPTANCE SIGNED BY THE MUNICIPALITY MANAGER.
&gt;LATEST PAYMENT OF R537 786.66, WAS MADE ON 2016/08/01
&gt; THERE IS NO VISIBLE END DATE BUT ACCORDING TO THE TECHNICAL DIRECTOR CONTRACTS OF THIS NATURE ARE SET FOR 6 MONTHS.</t>
  </si>
  <si>
    <t>NQU0080/146/2013/NDLOVU NGWENYAMA PTY LTD</t>
  </si>
  <si>
    <t>DESIGN AND PROJECT MANAGEMENT OF THELEZINI ROAD IN WARD 16 (NQUTHU)</t>
  </si>
  <si>
    <t>NDLOVU NGWENYAMA (PTY) LTD</t>
  </si>
  <si>
    <t>14% OF THE CONTRACT VALUE</t>
  </si>
  <si>
    <t xml:space="preserve">&gt;PAYMENT OF R392 942 70  MADE AS AT 2016/09/30
&gt;THE CONTRACT PERIOD; ACCORDING TO THE TECHNICAL DIRECTOR -MSIZI GCABASHE IS 12 WEEKS. THIS IS APPLICABLE TO MOST CONTRACTS PERTAINING TO ENGINEERING DESIGN.
</t>
  </si>
  <si>
    <t>NQU5050/203/2014/UMBELE 4 TRADING AND CONSTRUCTION CC</t>
  </si>
  <si>
    <t>NDINDINDI COMMUNITY HALL</t>
  </si>
  <si>
    <t>UMBELE 4 TRADING AND CONSTRUCTION CC</t>
  </si>
  <si>
    <t>MAAA0126437</t>
  </si>
  <si>
    <t>&gt;THE BILL OF QUANTITIES EXPLICITLY STATES THE DURATION OF THE CONTRACT TO BE 6 MONTHS (PAGE C.42)
&gt;AN AMOUNT OF R2,024,457.94 APPEARS ON THE FORM OF OFFER AND ACCEPTANCE (PAGE C.2) AS THE CONTRACT PRICE.
&gt;R808,010.00 IS THE PAYMENT ALREADY MADE AND IT IS BROKEN DOWN AS FOLLOWS:
&gt;R575,238.53 EFFECTED ON THE 4TH APRIL 2015 (EXPENDITURE REPORT 2014 - 2015)
&gt;R232,772.51 EFFECTED ON THE 1ST JULY 2015 (EXPENDITURE REPORT 2015 - 2016)</t>
  </si>
  <si>
    <t>NQU0080/148/2013/RB PROJECT MANAGERS AND CONSULTANTS CC</t>
  </si>
  <si>
    <t>DESIGN AND PROJECT MANAGEMENT OF NSEKWINI ROAD IN WARD 3 (NQUTHU)</t>
  </si>
  <si>
    <t>RB PROJECT MANAGERS AND CONSULTANTS CC</t>
  </si>
  <si>
    <t>MAAAA0298219</t>
  </si>
  <si>
    <t>&gt;PAGE 43 OF THE BID DOCUMENT (FORM OF OFFER AND ACCEPTANCE) REFLECTS THE BID PRICE.
&gt;R235,924.43 WAS PAID TO THE CONTRACTOR ON THE 27TH FEBRUARY 2015 AS PER EXPENDITURE REGISTER 2014 - 2015
&gt;THERE IS A SIGNED COPY OF THE GENERAL CONDITIONS OF CONTRACT.</t>
  </si>
  <si>
    <t>NQU0080/145/2013/VIJAY ORI AND ASSOCIATES CC</t>
  </si>
  <si>
    <t>DESIGN AND PROJECT MANAGEMENT OF HLULI ROAD EXT. IN WARD 13 (NQUTHU)</t>
  </si>
  <si>
    <t>VIJAY ORI AND ASSOCIATES CC</t>
  </si>
  <si>
    <t>MAAA0032736</t>
  </si>
  <si>
    <t>&gt;FORM OF OFFER AND ACCEPTANCE (PAGE 43)SIGNED 
&gt;CONTRACT AMOUNT INDICATED ON THE FORM OF OFFER.</t>
  </si>
  <si>
    <t>NQU0080/147/2013/MINATHI CONSULTING CC</t>
  </si>
  <si>
    <t xml:space="preserve"> PROPOSAL FOR DESIGN AND PROJECT MANAGEMENT OF MQUNYENI ROAD IN WARD 09</t>
  </si>
  <si>
    <t>MINATHI CONSULTING CC</t>
  </si>
  <si>
    <t>MAAA0143972</t>
  </si>
  <si>
    <t>&gt;CONTRACT PRICE IS R300,000 AS SHOWN ON PAGE 2 OF THE INVITATION TO BID. 
&gt;AN AMOUNT OF R203,263.14 WAS PAID FOR THIS PROJECT ON AUGUST 13, 2015 AND R81,164.37 ON JUNE 10, 2015 ACCORDING TO 2015/16 AND 2014/15 EXPENDITURE REPORTS, RESPECTIVELY.</t>
  </si>
  <si>
    <t>NQU0080/126/2013/NTANDANSEY CONSTRUCTION</t>
  </si>
  <si>
    <t>FENCING OF NQUTHU SUBSTATION, LIBRARY AND NEW CEMETERY</t>
  </si>
  <si>
    <t>NTANDANSEY CONSTRUCTION</t>
  </si>
  <si>
    <t>MAAA0007888</t>
  </si>
  <si>
    <t>&gt;CONTRACT PRICE IS REFLECTED ON THE FORM OF OFFER AND ACCEPTANCE SIGNED ON THE 21ST AUGUST 2014.
&gt;AN AMOUNT OF R178,200.00 WAS PAID TO THE CONTRACTOR  ON THE 23RD DECEMBER 2014 AS PER EXPENDITURE REPORT 2014 - 2015.
&gt; THERE IS A SIGNED COPY OF THE GENERAL CONDITIONS OF CONTRACT.</t>
  </si>
  <si>
    <t>NQU5050/186/2014/AKWANDE CIVILS CC</t>
  </si>
  <si>
    <t>CONSTRUCTION OF LUVISI COMMUNITY HALL (WARD 14) NQUTHU</t>
  </si>
  <si>
    <t>AKWANDE CIVILS CC</t>
  </si>
  <si>
    <t>MAAA0027851</t>
  </si>
  <si>
    <t>&gt;LETTER OF INTENT SIGNED BY BOTH THE EMPLOYER (ACCOUNTING OFFICER) AND THE BIDDER REFLECTS THE CONTRACT VALUE OF R2,448,339.70.
&gt;EXPENDITURE REPORT REFLECTS THE TOTAL PAYMENT OF R609 312.96 IN THE 2015/2016 
&gt; R111,362.38 (JULY 31, 2015)
&gt; ALL THE ABOVE AMOUNTS ARE REFLECTED ON THE EXPENDITURE REPORT 2014 - 2015 (1ST PAYMENT) AND 2015 - 2016 (THE LAST 2)</t>
  </si>
  <si>
    <t>NQU5000/195/2014/RIVER QUEEN TRADING 249 CC</t>
  </si>
  <si>
    <t>CONSTRUCTION OF A 2,5 KM GRAVEL ACCESS ROAD AS WELL AS ASSOCIATED STORMWATER AND STREAM CROSSINGS</t>
  </si>
  <si>
    <t>RIVER QUEEN TRADING 249 CC</t>
  </si>
  <si>
    <t xml:space="preserve">&gt;CONTRACT PRICE REFLECTED ON C1.3 FORM OF OFFER AND ACCEPTANCE DATED 21 MARCH 2015.
&gt;FORM OFFER AND ACCEPTANCE SIGNED.
</t>
  </si>
  <si>
    <t>NQU0040/95/2012/AON SOUTH AFRICA (PTY) LTD</t>
  </si>
  <si>
    <t>PROVISION OF SHORT TERM INSURANCE</t>
  </si>
  <si>
    <t>AON SOUTH AFRICA (PTY) LTD</t>
  </si>
  <si>
    <t>MAAA0092277</t>
  </si>
  <si>
    <t>INSURANCE SERVICES</t>
  </si>
  <si>
    <t>EXTENDED</t>
  </si>
  <si>
    <t>&gt;PAYMENT INDICATED OF  R810 753.43 BY 30 SEPTEMBER 2016
&gt;THERE IS AN APPOINTMENT LETTER EXTENDING THE CONTRACT FOR 12 MAONTHS FROM JULY 2016 TO JULY 2017
&gt; THERE IS ANOTHER APPOINTMENT LETTER EXTENDING THE CONTRACT FOR 12 MAONTHS FROM JULY 2017 TO JULY 2018
&gt; THERE IS ALSO AN APPOINTMENT LETTER EXTENDING THE CONTRACT FOR 12 MAONTHS FROM JULY 2018 TO JULY 2019.</t>
  </si>
  <si>
    <t>NQU0080/51/2011/DLV ENGINEERS AND PROJECT MANAGERS</t>
  </si>
  <si>
    <t>ELECTRIFICATION OF EXTENSION OF NQUTHU OFFICES</t>
  </si>
  <si>
    <t>DLV ENGINEERS AND PROJECT MANAGERS</t>
  </si>
  <si>
    <t>MAAA0247537</t>
  </si>
  <si>
    <t xml:space="preserve">&gt;PAYMENTS ACCORDING TO THE EXPENDITURE REPORT WERE MADE AS FOLLOWS:
&gt; R285,224.64 JULY 31, 2015 
&gt; R223,293.29 SEPT 15, 2015
&gt; THERE IS A LETTER OF APPOINTMENT DATED JUNE 27, 2012
&gt; NEITHER THE LETTER OF APPOINTMENT NOR THE PROPOSAL STIPULATE THE START OR THE END DATE; HOWEVER, THE DATE ON THE LETTER OF APPOINTMENT WILL BE ASSUMED TO BE THE START DATE.
</t>
  </si>
  <si>
    <t>NQU0080/176/2013/RUPEE CONSULTING CC</t>
  </si>
  <si>
    <t>DESIGN, SUPERVISION AND PROJECT MANAGEMENT FOR THE CONSTRUCTION OF MPOLWENI CAUSEWAY IN WARD 11.</t>
  </si>
  <si>
    <t>RUPEE CONSULTING CC</t>
  </si>
  <si>
    <t>MAAA0200117</t>
  </si>
  <si>
    <t>&gt;PAYMENT OF R135 618.72 APPEARS ON THE 2016 EXPENDITURE REPORT.
&gt;THE CONTRACT AMOUNT IS TAKEN FROM THE FORM OF OFFER AND ACCEPTANCE.
&gt; START DATE IS ALSO TAKEN FRON PAGE 43 OF THE FORM OF OFFER AND ACCEPTANCE.
&gt; THERE IS NO SET END DATE, NEITHER IS THERE A CONTRACT PERIOD; BUT ACCORDING TO THE TECHNICAL DIRECTOR MSIZI GCABASHE CONTRACTS OF THIS NATURE ARE GIVEN A PERIOD OF 12 WEEKS.</t>
  </si>
  <si>
    <t>NQU78/2009_PWC (COMBINED SYSTEMS)</t>
  </si>
  <si>
    <t>INFRASTRUCTURE REGISTER - ASSETS</t>
  </si>
  <si>
    <t>PWC / COMBINED SYSTEMS</t>
  </si>
  <si>
    <t>MAAA0028214</t>
  </si>
  <si>
    <t>&gt; APPOINTMENT LETTER AND ACCEPTANCE WAS SIGNED BY BOTH PARTIES ON 07 JUNE 2010
&gt; THEY WERE THEN APPOINTED FOR ANNUAL PHYSICAL VERIFICATION OF ASSETS ON 01 JUNE 2012 AT THE AMOUNT OF R368 425.20.
&gt; ON 14 MARCH 2019, THEY WERE APPOINTED FOR PHYSICAL VERIFICATION OF ALL MOVABLE ASSTES AT THE AMOUNT OF R1 942 480.00</t>
  </si>
  <si>
    <t>NQU5050/201/2014/GOLDEN EMPIRE 58 CC</t>
  </si>
  <si>
    <t>CONSTRUCTION OF VULAMEHLO COMMUNITY HALL IN WARD 11</t>
  </si>
  <si>
    <t>GOLDEN EMPIRE 58 CC</t>
  </si>
  <si>
    <t>MAAA0115329</t>
  </si>
  <si>
    <t>&gt;PENALTY PAYMENT CLAUSE STATES THAT R750 WILL BE CHARGED FOR EACH CALENDAR DAY THE PROJECT IS LATE.
&gt;PAGE C1-6 OF THE AGREEMENT AND CONTRACT DATA STATES THAT THE PROJECT DURATION IS 4 MONTHS.
&gt;THE CONTRACT PRICE OF R2,470,880.34 IS REFLECTED ON THE FORM OF OFFER AND ACCEPTANCE.
&gt; THE SUM OF R2 094 590.31 WHICH APPEARS AS A PAYMENT IS ACTUALLY MADE UP OF SEVERAL PAYMENTS; WHICH ARE AS FOLLOWS:
&gt; R250,184.40 (JULY 31, 2015)   R422,666.40 (AUGUST 28, 2015)
&gt; R382,880.40 (SEPT 30, 2015)   R565,983.89 (OCTOBER 29, 2015)
&gt;R140 284.91 (NOVEMBER 2015)  R332 590.31(JANUARY 2016)
&gt; ALL OF THE ABOVE PAYMENTS APPEAR ON THE 2015-2016 EXPENDITURE REPORT.</t>
  </si>
  <si>
    <t>NQU0080/175/2013/VUMESA (PTY) LTD</t>
  </si>
  <si>
    <t>DESIGN, SUPERVISION AND PROJECT MANAGEMENT FOR CONSTRUCTION OF INGOBOTI ROAD IN WARD 10</t>
  </si>
  <si>
    <t>VUMESA (PTY) LTD</t>
  </si>
  <si>
    <t>MAAA0014979</t>
  </si>
  <si>
    <t xml:space="preserve">&gt;CONTRACT PRICE AS SEEN ON THE FORM OF OFFER AND ACCEPTANCE IS R275,000.00 
&gt;GENERAL CONDITIONS OF CONTRACTS SIGNED. SCOPE OF WORKS C3.1.3.1 ON PAGE 55 DETAILS THE DELIVERABLES.
&gt;THERE IS NO END DATE ANYWHERE IN THE DOCUMENTS FOR THIS CONTRACT BUT ACCORDING TO MSIZI GCABASHE THE TECHNICAL DIRECTOR CONTRACTS OF THIS NATURE ARE ALLOWED 12 WEEKS TO BE ACCOMPLISHED.
</t>
  </si>
  <si>
    <t>NQU5050/207/2014/MPANDLA TRADING</t>
  </si>
  <si>
    <t>EXTENSION OF NKANDE COMMUNITY HALL</t>
  </si>
  <si>
    <t>MPANDLA TRADING</t>
  </si>
  <si>
    <t>&gt;GENERAL CONDITIONS OF CONTRACT SIGNED.
&gt;THERE IS NO INDICATION OF THE DURATION OF THE PROJECT IN ANY OF THE DOCUMENTS ON FILE BUT ACCORDING TO MSIZI GCABASHE THESE CONTRACTS ARE USUALLY GIVEN A PERIOD OF 3 MONTHS TO COMPLETE.
&gt;THE AMOUNT PAID ACCORDING TO THE EXPENDITURE REPORT 2015 - 2016 IS BROKEN DOWN THUS:
&gt; R223,893.72 (JULY 31, 2015)  R217,066.49 (AUGUST 28, 2015)
&gt; R255,233.62 (SEPT 30, 2015)  R83,288.91 (SEPT 30, 2015)
&gt; R119,410.50 (SEPT 30, 2015)  R161,905.71 (OCT 29, 2015)</t>
  </si>
  <si>
    <t>NQU0080/150/2013/AFRI-INFRA GROUP (PTY) LTD</t>
  </si>
  <si>
    <t>DESIGN AND PROJECT MANAGEMENT OF LUVISI ROAD IN WARD 14</t>
  </si>
  <si>
    <t>AFRI-INFRA GROUP (PTY) LTD</t>
  </si>
  <si>
    <t>&gt;GENERAL CONDITIONS OF CONTRACT SIGNED.
&gt;CONTRACT AMOUNT IS REFLECTED ON THE FORM OF OFFER AND ACCEPTANCE PAGE 43.
&gt;A PAYMENT OF R118,138.90 IS REFLECTED ON THE EXPENDITURE REPORT 2014 - 2015 WITH AN ORDER NUMBER AIG09314.
&gt;THERE IS NO END DATE VISIBLE BUT ACCORDING TO MSIZI GCABASHE THE MUNICIPALITY TECHNICAL DIRECTOR CONTRACTS FOR DESIGNING PROJECTS (CONSTRUCTION) ARE GIVEN 12 WEEKS TO BE ACCOMPLISHED.
&gt; DESCRIPTION OF WORKS ON PAGE 55 CLEARLY DETAILS THE DELIVERABLES FOR THIS CONTRACT.</t>
  </si>
  <si>
    <t>NQU0080/155/2013/NATHOO MBENYANE ENGINEERS (PTY) LTD</t>
  </si>
  <si>
    <t>DESIGN AND PROJECT MANAGEMENT OF NGOLOKODO ROAD</t>
  </si>
  <si>
    <t>NATHOO MBENYANE ENGINEERS (PTY) LTD</t>
  </si>
  <si>
    <t>MAAA0089221</t>
  </si>
  <si>
    <t>&gt;GENERAL CONDITIONS OF CONTRACT SIGNED.
&gt; CONTRACT AMOUNT FOUND ON THE 2ND PAGE OF THE BID DOCUMENT AS WELL AS IN PAGE 43 OF THE FORM OF OFFER AND ACCEPTANCE DOCUMENT.
&gt; PAYMENTS OF R29,855.61 AND R211,128.57 WERE EFFECTED ON THE 28TH AUGUST 2015 ACCORDING TO THE EXPENDITURE REPORT 2015 - 2016
&gt; WHILST THERE IS NO VISIBLE END DATE FOR THE CONTRACT, HOWEVER MSIZI GCABASHE WHO IS A TECHNICAL DIRECTOR IN THE MUNICIPALITY MAINTAINS THAT MOST CONTRACTS PERTAINING TO DESIGNING OF CONSTRUCTION PROJECTS ARE USUALLY 12 WEEKS.
&gt; DELIVERABLES ARE OBSERVED ON PAGE 55 OF THE DESCRIPTION OF WORKS.</t>
  </si>
  <si>
    <t>NQU0021/118/2013/S AND M KUHLE TRADING AND PROJECTS</t>
  </si>
  <si>
    <t>SUPPLY AND DELIVERY OF PROTECTIVE CLOTHING FOR TECHNICAL SERVICES EMPLOYEES</t>
  </si>
  <si>
    <t>S AND M KUHLE TRADING AND PROJECTS</t>
  </si>
  <si>
    <t>MAAA0154399</t>
  </si>
  <si>
    <t>UNIFORM AND CLOTHING</t>
  </si>
  <si>
    <t>&gt;GENERAL CONDITIONS OF CONTRACT SIGNED
&gt;FORM OF OFFER AND ACCEPTANCE REFLECTS THE CONTRACT PRICE (PAGE 9) DATED APRIL 02, 2014
&gt;THE PERIOD ALLOWED FOR THESE ORDERS IS 4 WEEKS ACCORDING TO THE SUPPLY CHAIN MANAGEMENT HEAD MS SNIKEZIWE ZULU
&gt; R243,888 REFLECTED ON THE EXPENDITURE REPORT FOR 2014 - 2015 INDICATES A PAYMENT OF R243,888
&gt; PAGES 6;7 &amp; 8 SETS OUT THE DELIVERABLES FOR THIS CONTRACT.</t>
  </si>
  <si>
    <t>NQU0080/198/2014/THULE-DU CONTRACTORS</t>
  </si>
  <si>
    <t>FENCING OF NQUTHU OLD CEMETERY AND NEW TAXI RANK</t>
  </si>
  <si>
    <t>THULE-DU CONTRACTORS</t>
  </si>
  <si>
    <t>MAAA0316845</t>
  </si>
  <si>
    <t>&gt;GENERAL CONDITIONS OF CONTRACT SIGNED.
&gt;BOTH THE BID DOCUMENT AND FORM OF OFFER AND ACCEPTANCE REFLECT THE CONTRACT PRICE.
&gt; PAYMENT OF R767,867.40 WAS THE FULL PAYMENT FOR THIS PROJECT AND THIS WAS EFFECTED ON THE 1ST OF JULY 2015 ACCORDING TO THE EXPENDITURE REPORT FOR THE 2015 - 2016 FINANCIAL YEAR.
&gt; SCOPE OF WORKS (PAGE 4 OF THE SCANNED DOCUMENTS) DETAILS THE DELIVERABLES FOR THIS CONTRACT.</t>
  </si>
  <si>
    <t>NQU0080/163/2013/AWA CONSULTING</t>
  </si>
  <si>
    <t>SUPERVISION AND PROJECT MANAGEMENT OF THELEZINI HALL IN WARD 15</t>
  </si>
  <si>
    <t>AWA CONSULTING</t>
  </si>
  <si>
    <t>MAAA0040910</t>
  </si>
  <si>
    <t>&gt;GENERAL CONDITIONS OF CONTRACTS SIGNED.
&gt;THERE IS NO END DATE ON THE DOCUMENT BUT ACCORDING TO MSIZI GCABASHE, THE TECHNICAL DIRECTOR FOR THE MUNICIPALITY THE DURATION FOR SUCH CONTRACTS AS THIS ONE IS 12 WEEKS.
&gt;THREE PAYMENTS OF R56,000, R28 000 AND R182,000 WE RESPECTIVELY EFFECTED ON THE 30TH SEPTEMBER AND 29TH OCTOBER 2015 AND THESE ARE OBSERVED ON THE 2015 - 2016 FINANCIAL YEAR EXPENDITURE REPORT.
&gt; DELIVERABLES ARE REFLECTED ON PAGE 55 (SCOPE OF WORKS) C3.1</t>
  </si>
  <si>
    <t>NQU0040/189/2014/VEXOSCORE</t>
  </si>
  <si>
    <t>SUPPLY AND DELIVERY OF BRAND NEW SINGLE CAB 4X4 DIESEL 4.2 LITRE</t>
  </si>
  <si>
    <t>VEXOSCORE (PTY) LTD</t>
  </si>
  <si>
    <t>&gt;GENERAL CONDITIONS OF CONTRACTS SIGNED.
&gt;PAYMENT OF R1,401,568.25 MADE ON JUNE 29, 2015 ACCORDING TO EXPENDITURE REPORT FOR THE FINANCIAL YEAR 2014 - 2015
&gt;THE TIME FOR DELIVERY IS 6 MONTHS ACCORDING TO THE OFFER.
&gt;OFFERS ON PAGES 2 - 8, DESCRIBE  ALL THE DELIVERABLES.</t>
  </si>
  <si>
    <t>NQU0063/181/2014/VEXOSCORE</t>
  </si>
  <si>
    <t>SUPPLY AND DELIVERY OF BRAND NEW HATCH BACK (WHITE) 2.0 LITRE DIESEL</t>
  </si>
  <si>
    <t xml:space="preserve">&gt;GENERAL CONDITIONS OF CONTRACTS SIGNED.
&gt;PAYMENT OF R1,423,166.55 MADE ON SEPT 10, 2015 ACCORDING TO EXPENDITURE REPORT FOR THE FINANCIAL YEAR 2015 - 2016
&gt;THE TIME FOR DELIVERY IS 6 MONTHS ACCORDING TO THE OFFER .
&gt; OFFERS ON PAGES 2 - 8 OF THE SECOND BATCH OF THE SCANNED DOCUMENTS CLEARLY STATE (DESCRIBE &amp; EXPLAIN) ALL THE DELIVERABLES.
</t>
  </si>
  <si>
    <t>SUPERVISION AND PROJECT MANAGEMENT OF THE EXTENSION OF NKANDE COMMUNITY HALL IN WARD 17</t>
  </si>
  <si>
    <t>ECA CONSULTING</t>
  </si>
  <si>
    <t>MAAA0092625</t>
  </si>
  <si>
    <t>&gt;GENERAL CONDITIONS OF CONTRACT SIGNED.
&gt;PAYMENT OF R140 700 AS PER EXPENDITURE REPORT (2014-2015).
&gt;THE CONTRACT AMOUNT IS REFLECTED ON PAGE 2 OF THE BID DOCUMENT.
&gt;DELIVERABLES ARE INDICATED ON C3.1.3.1 (SCOPE OF WORKS) ON PAGE 55
&gt; NO DURATION IS REFLECTED ANYWHERE BUT THE TECHNICAL DIRECTOR FOR THE MUNICIPALITY MAINTAINS THAT THE DURATION FOR SUPERVISION AND PROJECT MANAGEMENT IS 6 MONTHS, AS LONG AS THE CONSTRUCTION PERIOD ITSELF.</t>
  </si>
  <si>
    <t>DESIGN AND PROJECT MANAGEMENT OF MASAKHANE ROAD IN WARD 5</t>
  </si>
  <si>
    <t>BMK ENGINEERING CONSULTANTS</t>
  </si>
  <si>
    <t>MAAA0158358</t>
  </si>
  <si>
    <t xml:space="preserve">&gt;GENERAL CONDITIONS OF CONTRACT SIGNED.
&gt;DELIVERABLES ARE FOUND ON PAGE 55 OF THE CONTRACT UNDER THE HEADING "SCOPE OF WORKS" C.3.1
</t>
  </si>
  <si>
    <t>MAAA0361651</t>
  </si>
  <si>
    <t>&gt;PAYMENT OF R213,037.50 WAS MADE ON THE 19TH DECEMBER 2014 AS PER EXPENDITURE REPORT 2014 - 2015
&gt;GENERAL CONDITIONS OF CONTRACT SIGNED
&gt;DELIVERABLES ARE FOUND ON PAGE 55 OF THE CONTRACT UNDER THE HEADING "SCOPE OF WORKS" C.3.1
&gt;THE DURATION OF THIS CONTRACT IS 12 WEEKS, CONSISTENT WITH ALL DESIGNING CONTRACTS IN THE CONSTRUCTION SECTOR...SO SAYS MR MSIZI GCABASHE TECHNICAL DIRECTOR FOR THE MUNICIPALITY.</t>
  </si>
  <si>
    <t>TPL MKHIZE CIVILS</t>
  </si>
  <si>
    <t>MAAA0157653</t>
  </si>
  <si>
    <t>&gt;GENERAL CONDITIONS OF CONTRACT SIGNED.
&gt;THERE IS NO REFLECTION OF THE DURATION OF THE CONTRACT.
&gt; LATEST PAYMENT R230 629.84 , MADE ON 31 AGUST 2016
&gt; DELIVERABLES ARE FOUND ON THE BILL OF QUANTITIES FROM PAGE C15 TO C42.</t>
  </si>
  <si>
    <t>BARLEDA 65 CC</t>
  </si>
  <si>
    <t>MAAA0206792</t>
  </si>
  <si>
    <t>&gt;GENERAL CONDITIONS OF CONTRACT SIGNED
&gt;PAYMENT DETAILS OBTAINED FROM EXPENDITURE REPORT OF 2014 - 2015 FINANCIAL YEAR. R214,274.83 PAID ON APRIL 14, 2015 AND R214,274.83 PAID ON APRIL 30, 2015.
&gt;PROJECT AMOUNT FOUND IN THE BILL OF QUANTITIES PAGE C2.24.
&gt;DELIVERABLES REFLECTED ON THE SCOPE OF WORK PAGE C3.2
&gt;PROJECT DURATION FOUND ON PAGE C1.14 OF AGREEMENTS &amp; CONTRACT DATA.</t>
  </si>
  <si>
    <t>SIBANI TRADING</t>
  </si>
  <si>
    <t>MAAA0074830</t>
  </si>
  <si>
    <t>&gt;GENERAL CONDITIONS OF CONTRACT SIGNED.
&gt;BOTH THE BILL OF QUANTITIES (C2.2) AND FORM OF OFFER AND ACCEPTANCE (C1.1) REFLECT THE CONTRACT AMOUNT.
&gt;SCOPE OF WORK (C3) DETAIL ALL THE DELIVERABLES.
&gt;PAYMENT OF R347,656.59 WAS MADE ON THE 26TH AUGUST 2014 (EXPENDITURE REPORT - 2014/15 FINANCIAL YEAR)</t>
  </si>
  <si>
    <t>&gt;GENERAL CONDITIONS OF CONTRACT SIGNED.
&gt; PENALTY CLAUSE STIPULATING R750/CALENDAR DAY FOR DELAY IS EXPLAINED IN CLAUSE 5.13.1 OF THE AGREEMENTS &amp; CONTRACT DATA (C1)
&gt; DURATION OF THE PROJECT IS STATED IN CLAUSE 5.12.1 OF THE AGREEMENTS AND CONTRACT DATA (C1)
&gt; ALL THE DELIVERABLES ARE TABULATED IN THE SCOPE OF WORK (C3)
&gt; PAYMENTS ARE AS FOLLOWS:
&gt; R406,674.59 (JULY 14, 2015); R177,197.15 (JULY 31, 2015) AND R777,867.60 (0CT 29, 2015). THESE ARE FOUND IN THE EXPENDITURE REPORT FOR 2015/16</t>
  </si>
  <si>
    <t xml:space="preserve">&gt;R300 000.00 PAID ON THE 27TH FERUARY 2015 AS PER EXPENDITURE REPORT 2014 - 2015.
&gt;FORM OF OFFER AND ACCEPTANCE NOT SIGNED BY THE OFFICIAL FROM THE MUNICIPALITY.
&gt;START DATE ASSUMED TO BE 17 JULY 2015 AS SIGNED BY THE BIDDER.
&gt;SCOPE OF WORK (DELIVERABLES) FOUND ON CLAUSE C3.
&gt;PAYMENT DETAILS ARE FOUND ON PAGE 75 OF THE GCC IN CLAUSE 4.7 (PAYMENT OF SERVICE PROVIDER) UNDER EMPLOYER'S OBLIGATIONS.
</t>
  </si>
  <si>
    <t>S ZOKO CONSULTING</t>
  </si>
  <si>
    <t>MAAAA0139653</t>
  </si>
  <si>
    <t>&gt;CONTRACT AMOUNT TAKEN FROM THE FORM OF OFFER AND ACCEPTANCE.
&gt;SCOPE OF WORK DETAILS ALL THE DELIVERABLES FOR THIS CONTRACT (C3)
&gt;NO END DATE STATED IN THE CONTRACT BUT ACCORDING TO MSIZI GCABASHE, TECHNICAL DIRECTOR, ALL THE PROJECTS OF THIS NATURE ARE ALLOWED 3 MONTHS (12 WEEKS) AFTER OFFER AND ACCEPTANCE FORM HAS BEEN SIDE.
&gt; PAYMENT OF R139,057.17 IS REFLECTED ON THE EPENDITURE REPORT (2014/15) AND IS DATED FEB 27, 2015.</t>
  </si>
  <si>
    <t>IZINGODLA ENGINEERING (PTY) LTD</t>
  </si>
  <si>
    <t>ELECTRICAL / MECHANICAL SERVICES</t>
  </si>
  <si>
    <t>&gt;DELIVERABLES ARE STATED ON PAGE 55 UNDER THE DESCRIPTION OF WORKS.
&gt;LATEST PAYMENET OF R4 077 941.62, WAS MADE ON 2016/08/31
&gt; CONTRACT PRICE IS EXPRESSED AS A PERCENTAGE ON PAGE 53 UNDER PRICING DATA.
&gt; NO END DATE IS GIVEN BUT ACCORDING TO THE TECHNICAL DIRECTOR, MR. M GCABASHE THE DURATION OF CONTRACTS OF THIS MAGNITUDE IS 6 MONTHS FROM THE DATE OF COMMENCEMENT (SIGNATURE DATE OF OFFER AND ACCEPTANCE.</t>
  </si>
  <si>
    <t xml:space="preserve">
&gt;CONTRACT PRICE IS REFLECTED ON THE COVER PAGE OF THE BID, ON THE FORM OF OFFER AND ACCEPTANCE AND ON THE BILL OF QUANTITIES.
&gt;PAYMENT DETAILS ARE REFLECTED ON SECTION 14, PARAGRAPH TITLED (PAYMENTS) CLAUSES 14.1 UP TO 14.9 PAGE C1.2.7
&gt;DELIVERABLES FOR TE CONTRACT ARE OBSERVED IN THE SCOPE  OF WORK C3.1.
&gt;START AND END DATES ARE NOT SPECIFIED, HOWEVER, OFFER AND ACCEPTANCE FORM IS SIGNED ON THE 12TH OF AUGUST AND THAT IS ASSUMED TO BE THE START DATE OF THIS 6 MONTHS PROJECT AS CONFIRMED BY THE TECHNICAL DIRECTOR, MSIZI GCABASHE.</t>
  </si>
  <si>
    <t>NQU0030/131/2013/MASCOR VRYHEID</t>
  </si>
  <si>
    <t>SUPPLY AND DELIVERY OF 7 SEATER CREW BUS, DIESEL AND WHITE IN COLOUR</t>
  </si>
  <si>
    <t>MAS CORPORATION (PTY) LTD</t>
  </si>
  <si>
    <t>MAAA0283275</t>
  </si>
  <si>
    <t>&gt;GENERAL CONDITIONS OF CONTRACT SIGNED.
&gt;CONTRACT FORM - PURCHASE OF GOODS/SERVICES SIGNED ON APRIL 17, 2014 AND ASSUMED TO BE THE START DATE OF THE CONTRACT.
&gt;ACCORDING TO SUPPLY CHAIN MANAGEMENT SECTION CONTRACTS/ORDERS OF THIS NATURE ARE ALLOWED 4 WEEKS, HENCE MAY 17, 2014 END DATE.
&gt;EXPENDITURE REPORT INDICATES A PAYMENT OF R299,342.28 MADE ON THE 21ST JULY 2014.
&gt;PAYMENT DETAILS EXPLAINED ON PARAGRAPH 16 UNDER PAYMENT IN SECTIONS 16.1 UP TO 16.4</t>
  </si>
  <si>
    <t>NQU0056/183/2014/EMERGENCY AFRICAN SERVICES</t>
  </si>
  <si>
    <t>SUPPLY AND DELIVERY OF FIRE FIGHTING EQUIPMENT FOR DISASTER MANAGEMENT TO NQUTHU MUNICIPALITY</t>
  </si>
  <si>
    <t>EMERGENCY AFRICAN SERVICES</t>
  </si>
  <si>
    <t>MAAA0175344</t>
  </si>
  <si>
    <t xml:space="preserve">&gt;PAYMENT DETAILS (PARAGRAPH 16) EXPLAINED EXPLICITLY IN CLAUSES 16.1 TO 16.4
&gt;FORM OF OFFER AND ACCEPTANCE SIGNED ON 02 SEPTEMBER 2014, HENCE THE CONTRACT START DATE. 
&gt;TWO SEPARATE PAYMENTS OF R692,495.95 EACH WERE MADE ON THE 20TH FEBRUARY AND 27TH  FEBRUARY 2014, ACCORDING TO THE EXPENDITURE REPORT FOR THE FINANCIAL YEAR 2014/15.
SCOPE OF WORK (PAGE 3 OF THE SCANNED DOCUMENTS) CLEARLY DETAILS ALL THE DELIVERABLES. </t>
  </si>
  <si>
    <t>NQU5050/135/2013/BRIGHT IDEA PROJECTS 487</t>
  </si>
  <si>
    <t>CONSTRUCTION OF MADULADULA HALL</t>
  </si>
  <si>
    <t>BRIGHT IDEA PROJECTS 487 CC</t>
  </si>
  <si>
    <t>MAAA0186233</t>
  </si>
  <si>
    <t>&gt;PROJECT AMOUNT SEEN ON THE BILL OF  ON QUANTITIES (PAGE 40) AND ON THE FORM OF OFFER AND ACCEPTANCE.
&gt;PROJECT PERIOD ALSO STATED ON THE BILL OF QUANTITIES PAGE 40.
&gt;FORM OF OFFER AND ACCEPTANCE SIGNED ON THE 06TH OF FEB 2014 IMPLYING THE START DATE.
&gt;DELIVERABLES CLEARLY STATED ON THE BILL OF QUANTITIES.
&gt;PAYMENT DETAILS STATED ON PAGE C14 UNDER MONTHLY PAYMENTS (PARAGRAPH 8)
&gt;PAYMENTS OF 363,093.07 AND 37,991.00 MADE IN JULY 3 AND AUGUST 3 2015 RESPECTIVEL, AS SEEN ON THE EXPENDITURE REPORT 2015/16</t>
  </si>
  <si>
    <t>NQU0018/199/2014/BYTES SYSTEMS INTEGRATION</t>
  </si>
  <si>
    <t>SUPPLY AND INSTALL ENVIRORACK FOR SERVER ROOM</t>
  </si>
  <si>
    <t>BYTES SYSTEMS INTEGRATION</t>
  </si>
  <si>
    <t>MAAA0001794</t>
  </si>
  <si>
    <t>EXECUTIVE COUNCIL</t>
  </si>
  <si>
    <t>&gt;PROJECT AMOUNT SEEN ON THE PRICE QUOTATION AND ON THE FORM OF OFFER AND ACCEPTANCE.
&gt;DELIVERABLES ARE EXPLAINED CLEARLY ON THE SCOPE OF WORK.
&gt;PAYMENT DETAILS APPEAR IN SECTION 16 (CLAUSES 16.1 TO 16.4) OF THE GENERAL CONDITIONS OF CONTRACT.
&gt;FULL PAYMENT MADE ON THE 29TH OCTOBER 2015 AS PER EXPENDITURE REPORT 2015/16.</t>
  </si>
  <si>
    <t>NQU0056/184/2014/NTT TOYOTA VRUHEID</t>
  </si>
  <si>
    <t>SUPPLY AND DELIVER 4X4 DOUBLE CAB, DIESEL, WHITE</t>
  </si>
  <si>
    <t>NTT TOYOTA VRYHEID</t>
  </si>
  <si>
    <t>MAAA0130663</t>
  </si>
  <si>
    <t>&gt;CONTRACT PRICE APPEARS ON PAGE 47 OF OFFER AND ACCEPTANCE
&gt;OFFER AND ACCEPTANCE SIGNED ON THE 26/08/2014, HENCE START DATE.
&gt;ACCORDING TO THE SUPPLY CHAIN OFFICE CONTRACTS/ORDERS OF THIS NATURE HAVE A 2 MONTHS DURATION, HENCE THE END DATE.
&gt;PAYMENT MADE ON THE 18TH OF NOVEMBER 2014.</t>
  </si>
  <si>
    <t>NQU5000/196/2014/ETHALA CONSTRUCTION AND SERVICES</t>
  </si>
  <si>
    <t>CONSTRUCTION OF INGOBOTI ACCESS ROAD IN WARD 10</t>
  </si>
  <si>
    <t>&gt;FORM OF OFFER AND ACCEPTANCE SIGNED ON THE 20TH OF MARCH 2015 HENCE THE START DATE.
&gt;DURATION OF THE PROJECT APPEARS ON PAGE BD.3
&gt;SCOPE OF WORK, PAGE C3, DETAILS ALL DELIVERABLES FOR THIS CONTRACT.
&gt;PAYMENTS TOTALING THE AMOUNT PAID ARE REFLECTED ON THE EXPENDITURE REPORT FOR 2015/2016.</t>
  </si>
  <si>
    <t>NQU0080/62/2011/MAGNACORP 247 CC</t>
  </si>
  <si>
    <t>CONSTRUCTION OF HLUPHIZWE GRAVEL ACCESS ROAD</t>
  </si>
  <si>
    <t>MAGNACORP 247 CC</t>
  </si>
  <si>
    <t>MAAA0288440</t>
  </si>
  <si>
    <t>&gt;PAYMENT PENALTY CLAUSE STIPULATES R1000 PER DAY (EXCL. HOLIDAYS) FOR THE DELAY AND IS FOUND ON PAGE 39 OF THE AGRREMENTS AND CONTRACT DATA.
&gt;DELIVERABLES FOUND ON THE BILL OF QUANTITIES (PAGE 1 - 17)
&gt;PAYMENT DETAILS FOUND ON PAGE 51 (PS 2.3.4) OF THE PROJECT SPECIFICATION.</t>
  </si>
  <si>
    <t>NQU0100/107/2013/BC GILDENHUYS AND ASSOCIATES</t>
  </si>
  <si>
    <t>DEVELOPMENT OF AN INFRASTRUCTURE INVESTMENT PLAN FOR NQUTHU MUNICIPALITY</t>
  </si>
  <si>
    <t>BC GILDENHUYS AND ASSOCIATES</t>
  </si>
  <si>
    <t>N/A</t>
  </si>
  <si>
    <t>&gt;PAYMENT DETAILS ARE SEEN ON PAGE 000038
&gt;PENALTY CLAUSE IS DETAILED ON PAGE 000040 IN PARAGRAPH 22
&gt;CONTRACT FORM: PURCHASE OF GOODS/WORKS SIGNED ON THE 5TH FEBRUARY 2014, HENCE THE START DATE.
&gt;PROJECT AMOUNT REFLECTED ON TH EBID COVER PAGE IS R600,000</t>
  </si>
  <si>
    <t>NQU0080/86/2012/VIP CONSTRUCTION CC</t>
  </si>
  <si>
    <t>CONSTRUCTION OF NTANDOYOMPHAKATHI ROAD 2</t>
  </si>
  <si>
    <t>VIP CONSTRUCTION CC</t>
  </si>
  <si>
    <t>MAAA0123171</t>
  </si>
  <si>
    <t>2013/11/31</t>
  </si>
  <si>
    <t>&gt;CONTRACT AMOUNT  SEEN ON THE FORM OF OFFER AND ACCEPTANCE.
&gt;DURATION OF THE PROJECT SEEN ON THE BILL OF QUANTITIES.
&gt;DELIVERABLES ARE STATED ON THE SCOPE OF WORK (C3) AND ON THE BILL OF QUANTITIES.</t>
  </si>
  <si>
    <t>NQU0080/219/2013/MGAMULE CONSULTING ENGINEERS</t>
  </si>
  <si>
    <t>SUPERVISION AND PROJECT MANAGEMENT OF NTANYANDLOVU HALL</t>
  </si>
  <si>
    <t>MGAMULE CONSULTING ENGINEERS</t>
  </si>
  <si>
    <t xml:space="preserve">&gt;DELIVERABLES ARE FOUND ON PAGE 55 OF THE SCOPE OF WORK.
&gt;LATEST PAYMENT OF R 78 372.33, WAS MADE ON 2016/08/31
&gt;FORM OF OFFER AND ACCEPTANCE SIGNED 
&gt;NO END DATE IS STIPULATED BUT ACCORDING TO THE TECHNICAL DIRECTOR, CONTRACTS OF THIS NATURE ARE GIVEN 12 WEEKS TO COMPLETE.
</t>
  </si>
  <si>
    <t>NQU5000/206/2014/PROZ CONSULTANTS</t>
  </si>
  <si>
    <t>CONSTRUCTION OF NOMALANGA ACCESS ROAD OF NQUTHU MUNICIPALITY</t>
  </si>
  <si>
    <t>PROZ CONSULTANTS</t>
  </si>
  <si>
    <t>MAAA0242849</t>
  </si>
  <si>
    <t>&gt;CONTRACT VALUE APPEARS ON PAGE 56 OF OFFER AND ACCEPTANCE FORM
&gt;DELIVERABLES ARE DETAILED ON THE BILL OF QUANTITIES PAGES 78 TO 92.
&gt;PAYMENT DETAILS ARE ARE EXPLAINED ON C3.3.3.2, PAGE 100
&gt;AMOUNT PAID IS FOUND/REFLECTED ON THE 2015/2016 EXPENDITURE REPORT.</t>
  </si>
  <si>
    <t>NQU5050/264/2015/MELA OKUHLE TRADING</t>
  </si>
  <si>
    <t>CONSTRUCTION OF THELEZINI COMMUNITY HALL (WARD 15)</t>
  </si>
  <si>
    <t>MELA OKUHLE TRADING</t>
  </si>
  <si>
    <t xml:space="preserve">&gt;CONTRACT VALUE FOUND ON THE BILL OF QUANTITIES (PAGE C2-19)
&gt;DELIVERABLES EXPLAINED IN THE BILL OF QUANTITIES (PAGES C2-5 TO C2-19)
&gt;CONTRACT PERIOD IS 6 MONTHS ACCORDING TO MSIZI GCABASHE, THE TECHNICAL DIRECTOR.
&gt;PAYMENT MADE BY 2016/008/01 - R1 710 500.00 </t>
  </si>
  <si>
    <t>NQU0030/56/2011/SABALALA CONSULTING</t>
  </si>
  <si>
    <t>BUSINESS INCUBATOR CENTRE</t>
  </si>
  <si>
    <t>SABALALA CONSULTING</t>
  </si>
  <si>
    <t>MAAA0273338</t>
  </si>
  <si>
    <t>PROFESSIONAL SERVICES</t>
  </si>
  <si>
    <t>&gt;CONTRACT DURATION IS FOUND ON PAGE 6 OF THE SERVICE LEVEL AGREEMENT.
&gt;PROJECT AMOUNT IS STIPULATED IN THE PROPOSAL WHERE IT STATES THE PAYMENT WILL BE MONTHLY AND WILL BE R120,000 FOR 12 MONTHS.
&gt;DELIVERABLES ARE SEEN ON THE SCOPE OF WORK IN THE SERVICE LEVEL AGREEMENT.
&gt;EXPENDITURE REPORT 2014/2015 SHOWS AMOUNTS OF R900,000 AND R400,000 HAVING BEEN PAID FOR THIS PROJECT.</t>
  </si>
  <si>
    <t>NQU0020/96/2012/BONAKUDE CONSULTING</t>
  </si>
  <si>
    <t>INTERNAL AUDIT SERVICES</t>
  </si>
  <si>
    <t>BONAKUDE CONSULTING</t>
  </si>
  <si>
    <t>MAAA0090550</t>
  </si>
  <si>
    <t>&gt;CONTRACT VALUE IS FOUND ON THE PROPOSAL PAGES 13 AND 14
&gt;CONTRACT DURATION IS REFLECTED ON THE SERVICE LEVEL AGREEMENT
&gt;AMOUNT PAID TO THE SERVICE PROVIDER IS FOUND IN THE EXPENDITURE REPORT 2014/2015</t>
  </si>
  <si>
    <t>NQU0010/124/2013/MAVAVA TRADING 297 (PTY) LTD</t>
  </si>
  <si>
    <t>PROPOSAL TO USE NON-CONVENTIONAL STABILISATION PRODUCTS AS AN ALTERNATIVE</t>
  </si>
  <si>
    <t>MAVAVA TRADING 297 (PTY) LTD</t>
  </si>
  <si>
    <t>MAAA0389787</t>
  </si>
  <si>
    <t>&gt;PENALTY CLAUSE FOUND IN SECTION 22 ON PAGE 23 OF THE GENERAL CONDITIONS OF CONTRACT. 
&gt;PAYMENT DETAILS FOUND IN CLAUSE 16 (16.1 - 16.4) ON PAGE 22 OF THE GCC
&gt;CONTRACT VALUE REFLECTED ON PAGE 57 OF THE PROPOSAL.</t>
  </si>
  <si>
    <t>NQU0080/82/2012/HARVEY WORLD TRAVEL</t>
  </si>
  <si>
    <t>TRAVEL BOOKINGS AND RESERVATION SERVICES</t>
  </si>
  <si>
    <t>HARVEY WORLD TRAVEL SHELLEY BEACH</t>
  </si>
  <si>
    <t>MAAAA0169224</t>
  </si>
  <si>
    <t>ACCOMMODATION &amp; TRAVEL</t>
  </si>
  <si>
    <t>&gt;THE CONTRACT WAS EXTENDED- NOW IT IS ON MONTH TO MONTH
&gt;PAYMENT DETAILS ON PAGE 1 OF THE SERVICE LEVEL AGREEMENT.
&gt;THERE IS NO CONTRACT VALUE NOR CONTRACT PERIOD SHOWN IN THE SLA OR GCC
&gt;PAYMENTS ADDING UP TO THE AMOUNT PAID ARE SHOWN IN THE EXPENDITURE REPORT 2015/2016.</t>
  </si>
  <si>
    <t>SCM096/2014/NEO SOLUTIONS (PTY) LTD</t>
  </si>
  <si>
    <t>INSTALL AND COMMISSION THE SYSTEM AT THE MUNICIPALITY DRIVING LICENCE TESTING CENTRE</t>
  </si>
  <si>
    <t>MUNICIPAL SERVICES</t>
  </si>
  <si>
    <t>&gt;PAYMENT DETAILS EXPALINED IN CLAUSE 7 (7.1 - 7.8) OF THE SERVICE LEVEL AGREEMENT.
&gt;SERVICE LEVEL AGREEMENT SIGNED ON THE 25TH AUGUST 2014
&gt;CONTRACT PERIOD IS STIPULATED IN CLAUSE 13, PAGE 7 OF THE SLA
&gt;DELIVERABLES EXPLAINED IN PAGE 21 &amp; 22 OF THE GENERAL CONDITIONS OF CONTRACT.
&gt;CONTRACT VALUE STATED ON SCHEDULE 2: FEES, ON PAGE 23</t>
  </si>
  <si>
    <t>NQU0055/0421/0000/IDWALADWALA TRADING</t>
  </si>
  <si>
    <t>ACCOUNTING OFFICER APPROVAL</t>
  </si>
  <si>
    <t>CATERING DURING MUNICIPALITY EVENTS</t>
  </si>
  <si>
    <t>IDWALADWALA TRADING (PTY) LTD</t>
  </si>
  <si>
    <t>COMMUNITY SERVICES</t>
  </si>
  <si>
    <t>CATERING</t>
  </si>
  <si>
    <t>&gt;CONTRACT VALUE IS INDICATED IN THE PAYMENT AUTHORISATION CERTIFICATE, WHEREBY IT DECREASES AFTER EACH PAYMENT.
&gt;PAYMENT IS DUE WHEN INVOICED, AFTER SUCCESFUL DELIVERY
&gt;PAYMENT IS TAKEN FROM THE EXPENDITURE REPORT 2015-2016.
START AND END DATE IS SHOWN ON THE BUDGET SPREADSHEET ATTACHED TO THE PAYMENT VOUCHER WHEREBY THE BUDGET FOR THE FINANCIAL YEAR IS EXPLICITLY STATED.</t>
  </si>
  <si>
    <t>NQU0055/0413/0000/KUKHANYA ERNEGY SERVICES</t>
  </si>
  <si>
    <t>INSTALLATION OF SOLAR HOME SYSTEMS</t>
  </si>
  <si>
    <t>KUKHANYA SERVICES (PTY) LTD</t>
  </si>
  <si>
    <t>&gt;CONTRACT VALUE IS EXPLICITLY STATED ON THE BUDGET SHEET ATTACHED TO THE PAYMENT PAYMENT AUTHORISATION CERTIFICATE.
&gt;AMOUNT PAID APPEARS IN THE EXPENDITURE REPORT FOR 2015/2016
&gt;START AND END DATES EXPLICITLY STATED ON PAGE 2 OF THE SERVICE LEVEL AGREEMENT</t>
  </si>
  <si>
    <t>NQU0053/0613/0000/CONMAR GROUP</t>
  </si>
  <si>
    <t>MAINTENANCE OF A SPORTSFIELD</t>
  </si>
  <si>
    <t>CONMAR GROUP (PTY) LTD</t>
  </si>
  <si>
    <t>MAAA0349569</t>
  </si>
  <si>
    <t>ENVIRONMENTAL MAINTENANCE</t>
  </si>
  <si>
    <t>&gt;PAYMENT IS REFLECTED ON THE EXPENDITURE REPORT (2015/2016)
&gt;DELIVERABLES REFLECTED ON THE COPY OF THE PURCHASE ORDER ATTACHED HERE-TO.
&gt;START DATE IS SEEN ON THE PURCHASE ORDER ATTACHED HERE-TO</t>
  </si>
  <si>
    <t>NQU0018/0410/0000/RAFIQ KHAN &amp; CO.</t>
  </si>
  <si>
    <t>PROVISION OF LEGAL SERVICES</t>
  </si>
  <si>
    <t>RAFIQ KHAN &amp; CO.</t>
  </si>
  <si>
    <t>MAAA0045900</t>
  </si>
  <si>
    <t>LEGAL SERVICES</t>
  </si>
  <si>
    <t xml:space="preserve">&gt;DELIVERABLES ARE OBSERVED IN A LETTER (E-MAIL) DATED 07 FEBRUARY 2014 INSTRUCTING THE CONTRACTOR. (WRITTEN BY MPUME JIYANE - 082 768 0870).
&gt;CONTRACT PERIOD IS REFLECTED ON THE LETTER OF APPOINTMENT DATED 27 JUNE 2013.
&gt;AMOUNT PAID OF R814 178.77 IS REFLECTED ON THE EXPENDITURE REPORT .
</t>
  </si>
  <si>
    <t>NQU5000/205/2014/TSW CONSTRUCTION</t>
  </si>
  <si>
    <t>CONSTRUCTION OF HLULENI ROAD EXTENSION IN WARD 13</t>
  </si>
  <si>
    <t>TSW CONSTRUCTION</t>
  </si>
  <si>
    <t>&gt;DELIVERABLES ARE STATED ON THE BILL OF QUANTITIES.
&gt;START DATE IS TAKEN FROM THE LETTER OF APPOINTMENT.
&gt;CONTRACT VALUE IS REFLECTED ON THE LETTER OF APPOINTMENT.
CONTRACT PERIOD IS NOT SEEN ANYWHERE IN THE DOCUMENTS BUT ACCORDING TO MSIZI GCABASHE (TECHNICAL DIRECTOR) CONTRACTS OF THIS NATURE ARE NORMALLY GIVEN 6 MONTHS.</t>
  </si>
  <si>
    <t>NQU5050/262/2015/FANKEI INVESTMENT CC</t>
  </si>
  <si>
    <t>CONSTRUCTION OF MAHLUNGULU HALL IN WARD 6</t>
  </si>
  <si>
    <t>FANKEI INVESTMENTS CC</t>
  </si>
  <si>
    <t>&gt;LATEST PAYMENT MADE  R 515  589.11 AS 2016/08/15
&gt;DELIVERABLES FOUND ON THE BILL OF QUANTITIES
&gt;CONTRACT VALUE ALSO REFLECTED ON THE BILL OF QUANTITIES
&gt;START DATE TAKEN FROM THE DATE ON WHICH THE FORM OF OFFER AND ACCEPTANCE WAS SIGNED
&gt;THERE IS NO END DATE REFLECTED ON THE CONTRACT BUT IT IS ASSUMED TO BE 6 MONTHS AS PER INFORMATION GIVEN BY THE TECHNICAL DIRECTOR WHO SUBMITS THAT CONTRACTS OF THIS NATURE ARE GIVEN 6 MONTHS.</t>
  </si>
  <si>
    <t>NQU5050/261/2015/ENDUNENI CONTRACTORS</t>
  </si>
  <si>
    <t>CONSTRUCTION OF NTANYANDLOVU COMMUNITY HALL IN WARD 11</t>
  </si>
  <si>
    <t>ENDUNENI CONTRACTORS</t>
  </si>
  <si>
    <t>&gt;DELIVERABLES FULLY DETAILED IN THE BILL OF QUANTITIES FROM PAGE C2-1 TO C2-30
&gt;LATEST PAYMENT OF R166 296.28, WAS MADE ON 2016/09/30
&gt;CONTRACT PRICE TAKEN FROM THE BILL OF QUANTITIES PAGE C2-30.
&gt;FORM OF OFFER AND ACCEPTANCE SIGNED ON THE 15 OCTOBER 2015 HENCE THE START DATE.
&gt;THE DURATION OF THE CONTRACTS OF THIS NATURE IS 6 MONTHS ACCORDING THE TECHNICAL DIRECTOR MR. MSIZI GCABASHE.</t>
  </si>
  <si>
    <t>NQU0080/229/2013/ERNST CLOETE &amp; ASSOCIATES</t>
  </si>
  <si>
    <t>DESIGN AND PROJECT MANAGEMENT OF SAVUYE ROAD IN WARD 3</t>
  </si>
  <si>
    <t>ERNST CLOETE &amp; ASSOCIATES</t>
  </si>
  <si>
    <t xml:space="preserve">&gt;FORM OF OFFER AND ACCEPTANCE SIGNED ON 15 JULY 2015, HENCE THE START DATE.
&gt;CONTRACT VALUE INDICATED ON FORM OF OFFER AND ACCEPTANCE. 
&gt;SCOPE OF WORK INDICATED C3.1(P.54-55)
</t>
  </si>
  <si>
    <t>NQU0080/242/2014/MAFAHLENI ENGINEERS AND PROJECT MANAGERS</t>
  </si>
  <si>
    <t>DESIGN AND PROJECT MANAGEMENT OF SPRINGLAKE SPORT FACILITY IN WARD 12</t>
  </si>
  <si>
    <t>MAFAHLENI ENGINEERS AND PROJECT MANAGERS</t>
  </si>
  <si>
    <t>&gt;GENERAL CONDITIONS OF CONTRACT SIGNED.
&gt;START DATE TAKEN FROM THE FORM OF OFFER AND ACCEPTANCE
&gt;PROJECT AMOUNT APPEARS ON THE FORM OF OFFER AND ACCEPTANCE.
&gt;DELIVERABLES ARE REFLECTED ON THE SCOPE OF WORK.
PROJECT DURATION NOT SPECIFIED BUT ACCORDING TO MSIZI GCABASHE DESIGNING CONTRACTS ARE USUALLY GIVEN 12 WEEKS - THREE MONTHS - TO BE ACCOMPLISHED.</t>
  </si>
  <si>
    <t>NQU2110/212/2014/SHANTI'S ELECTRICAL CONSTRUCTION</t>
  </si>
  <si>
    <t>ELECTRIFICATION OF NOMATHINTA VILLAGE IN WARD 15 (300 STANDS)</t>
  </si>
  <si>
    <t>&gt;DELIVERABLES DETAILED ON THE SCOPE OF WORK C3.1.3.1.
&gt;CONTRACT PRICE FOUND/REFLECTED ON THE FORM OF OFFER AND ACCEPTANCE.
&gt;START DATE TAKEN FROM THE DATE ON WHICH THE FORM OF OFFER WAS SIGNED.
&gt;NO END DATE SEEN BUT IS ASSUMED TO BE 3 MONTHS AS STATED BY THE TECHNICAL DIRECTOR, MSIZI GCABASHE, WHO MAINTAINS THAT THE CONTRACTS OF THIS NATURE TAKE 6 MONTHS</t>
  </si>
  <si>
    <t>NQU5050/265/2015/MDU SHANDU CONSTRUCTION</t>
  </si>
  <si>
    <t>EZINKONDLWANENI STORMWATER DIVERSION CANAL (WARD 14)</t>
  </si>
  <si>
    <t>MDU SHANDU CONSTRUCTION</t>
  </si>
  <si>
    <t>MAAA0092322</t>
  </si>
  <si>
    <t>&gt;GENERAL CONDITIONS OF CONTRACT SIGNED.
&gt;START DATE TAKEN FROM THE DATE ON WHICH THE FORM OF OFFER AND ACCEPTANCE WAS SIGNED.
&gt;NO END DATE SHOWN BUT ACCORDING TO THE TECHNICAL DIRECTOR CONTRACTS OF THIS NATURE USUALLY TAKE 6 MONTHS.
DELIVERABLES ARE SHOWN IN THE BILL OF QUANTITIES.</t>
  </si>
  <si>
    <t>NQU5050/255/2015/COW CATCHERS</t>
  </si>
  <si>
    <t>PROPOSA FOR DESIGN AND DEVELOP ANIMAL POUND IN NQUTHU (TURNKEY PROJECT)</t>
  </si>
  <si>
    <t>COW CATCHERS</t>
  </si>
  <si>
    <t>&gt;CONTRACT VALUE APPEARS ON PAGE 2 OF THE BID DOCUMENT
&gt;DELIVERABLES STIPULATED ON THE SCOPE OF WORK AS WELL AS ON THE SCHEDULE OF DEVIATIONS (PAGE 45)
&gt;START DATE TAKEN FROM THE SIGNED OFFER AND ACCEPTANCE FORM.
&gt;CONTRACT PERIOD IS 12 WEEKS AS IS NORMALLY APPLICABLE TO ALL DESIGN PROJECTS - ACCORDING TO MSIZI GCABASHE, TECHNICAL DIRECTOR</t>
  </si>
  <si>
    <t>NQU0080/232/2013/MASAKHEKULUNGE PROJECTS MANAGERS</t>
  </si>
  <si>
    <t>PROPOSAL FOR DESIGN AND PROJECT MANAGEMENT OF MASHANGANENI ROAD IN WARD 2</t>
  </si>
  <si>
    <t>MASAKHEKULUNGE PROJECTS MANAGERS</t>
  </si>
  <si>
    <t>&gt;GENERAL CONDITIONS OF CONTRACT SIGNED.
&gt;PROJECT PRICE SEEN OF THE FORM OF OFFER AND ACCEPTANCE SIGNED BY BOTH PARTIES.
&gt;DELIVERABLES REFLECTED ON THE SCOPE OF WORK.
&gt;CONTRACT DURATION NOT SPECIFIED ANYWHERE ON THE DOCUMENT BUT ACCORDING TO MSIZI GCABASHE, TECHNICAL DIRECTOR FOR THE MUNICIPALITY, CONTRACTS OF  DESIGN AND PROJECT MANAGEMENT NORMALLY HAVE 3 MONTHS.</t>
  </si>
  <si>
    <t>NQU0080/221/2013/ANDERSON VOGT CONSULTING</t>
  </si>
  <si>
    <t>PROPOSAL FOR DESIGN AND PROJECT MANAGEMENT OF FIRE STATION IN WARD 14</t>
  </si>
  <si>
    <t>ANDERSON VOGT CONSULTING</t>
  </si>
  <si>
    <t>MAAA0119629</t>
  </si>
  <si>
    <t xml:space="preserve">&gt; GENERAL CONDITIONS OF CONTRACT SIGNED
&gt;SCOPE OF WORK INDICATED C3.1(P.54-55)
&gt;FORM OF OFFER AND ACCEPTANCE SIGNED ON 02 NOVEMBER 2015, HENCE THE START DATE.
CONTRACT VALUE INDICATED ON  (P.43)
&gt;CONTRACT DURATION  NOT STIPULATED 
</t>
  </si>
  <si>
    <t>NQU0080/235/2013/ANDERSON VOGT CONSULTING</t>
  </si>
  <si>
    <t>PROPOSAL FOR DESIGN AND PROJECT MANAGEMENT OF MANTULI ROAD IN WARD 8</t>
  </si>
  <si>
    <t>&gt;GENERAL CONDITIONS OF CONTRACT SIGNED
&gt;START DATE TAKEN FROM THE FORM OF OFFER AND ACCEPTANCE
&gt;DELIVERABLES FOUND IN THE SCOPE OF WORK (C3.1.3.1) PAGE 55
&gt;CONTRACT AMOUNT SEEN ON THE FORM OF OFFER AND ACCEPTANCE
&gt;NO DURATION INDICATED BUT ACCORDING TO THE TECHNICAL DIRECTOR CONTRACTS OF THIS NATURE ARE NORMALLY GIVEN 3 MONTHS</t>
  </si>
  <si>
    <t>NQU0080/231/2013/ISILIMELA PROJECT MANAGERS</t>
  </si>
  <si>
    <t>PROPOSAL FOR DESIGN AND PROJECT MANAGEMENT OF MANZEKHOFI ROAD IN WARD 1</t>
  </si>
  <si>
    <t>ISLIMELA PROJECT MANAGERS</t>
  </si>
  <si>
    <t>MAAA0141442</t>
  </si>
  <si>
    <t xml:space="preserve">&gt;CONTRACT VALUE IT TAKEN FROM THE SIGNED OFFER AND ACCEPTANCE FORM AS WELL AS ON PAGE 2 OF THE BID DOCUMENT
&gt;START DATE IS TAKEN FROM THE DATE ON THE FORM OF OFFER AND ACCEPTANCE
&gt;DELIVERABLES FOUND ON PAGE 55 - SCOPE OF WORK (C3)
&gt;THERE IS NO INDICATION OF THE DURATION OF THE CONTRACT, BUT ACCORDING TO MSIZI GCABASHE, THE TECHNICAL DIRECTOR, CONTRACTS OF THIS NATURE ARE GIVEN A PERIOD OF 3 MONTHS.
</t>
  </si>
  <si>
    <t>NQU0080/216/2013/MAFAHLENI ENGINEERS AND PROJECTS MANAGERS</t>
  </si>
  <si>
    <t>PROPOSAL FOR DESIGN AND PROJECT MANAGEMENT OF NHLOYA BRIDGE IN WARD 10</t>
  </si>
  <si>
    <t>&gt;GENERAL CONDITIONS OF CONTRACT SIGNED
&gt;CONTRACT PRICE SHOWN ON PAGE 2 OF THE BID DOCUMENT AS WELL AS ON THE SIGNED OFFER AND ACCEPTANCE.
&gt;START DATE TAKEN FROM THE SIGNED OFFER AND ACCEPTANCE.
&gt;CONTRACT PERIOD NOT SHOWN ANYWHERE BUT ACCORDING TO THE TECHNICAL DIRECTOR MR. MSIZI GCABASHE THE PERIOD ALLOWED FOR THE CONTRACTS OF THIS NATURE IS 12 WEEKS (3MONTHS)
DELIVERABLES SHOWN ON THE SCOPE OF WORKS (C3)</t>
  </si>
  <si>
    <t>NQU0030/180/2014/INGQONDO BUSINESS ENTERPRISE CC</t>
  </si>
  <si>
    <t>PROPOSAL FOR DESIGN, CONSTRUCTION AND PROJECT MANAGEMENT FOR THE IMPLEMENTATION OF SHEEP AND WOOL PROJECT WITHIN THE NQUTHU LOCAL MUNICIPALITY</t>
  </si>
  <si>
    <t>INGQONDO BUSINESS ENTERPRISE CC</t>
  </si>
  <si>
    <t>MAAA0129491</t>
  </si>
  <si>
    <t xml:space="preserve">&gt;AMOUNT OF R703 526.10 PAID  (BY 2016/09/30) 
&gt;GENERAL CONDITIONS OF CONTRACT SIGNED (C1)
&gt;SCOPE OF WORK INDICATED C3.1
</t>
  </si>
  <si>
    <t>NQU0080/237/2013/MGAMULE CONSULTING ENGINEERS</t>
  </si>
  <si>
    <t>PROPOSAL FOR SUPERVISION AND PROJECT MANAGEMENT OF EZIQHAZENI HALL IN WARD 15</t>
  </si>
  <si>
    <t>&gt;GENERAL CONDITIONS OF CONTRACT SIGNED
&gt;CONTRACT VALUE APPEARS ON PAGE 2 OF THE BID DOCUMENT
&gt;DELIVERABLES EXPLAINED ON PAGE 55 OF THE SCOPE OF WORK C3.1.3.1
&gt;NO CONTRACT DURATION STATED BUT ACCORDING TO THE TECHNICAL DIRECTOR CONTRACTS OF THIS NATURE ARE ALLOWED 3 MONTHS.
&gt;START DATE TAKEN FROM THE DATE ON WHICH THE FORM OF OFFER AND ACCEPTANCE WAS SIGNED.</t>
  </si>
  <si>
    <t>NQU0080/238/2013/ILIFA AFRICA ENGINEERS</t>
  </si>
  <si>
    <t>PROPOSAL FOR SUPERVISION AND PROJECT MANAGEMENT OF NGEDLA HALL IN WARD 10</t>
  </si>
  <si>
    <t>ILIFA AFRICA ENGINEERS</t>
  </si>
  <si>
    <t>MAAA0012625</t>
  </si>
  <si>
    <t>&gt;CONTRACT VALUE FOUND ON PAGE 2 OF THE BID DOCUMENT AS WELL AS ON THE FORM OF OFFER AND ACCEPTANCE
&gt;DELIVERABLES STIPULATED ON THE SCOPE OF WORK C3.1.3.1 PAGE 55
&gt;NO CONTRACT DURATION STIPULATED ON THE CONTRACT BUT IS ASSUMED TO BE 3 MONTHS AS PER THE TECHNICAL DIRECTOR'S SUBMISSION REGARDING CONTRACTS OF THIS NATURE.</t>
  </si>
  <si>
    <t>NQU0080/225/2013/BI INFRASTRUCTURE CONSULTANTS (PTY) LTD</t>
  </si>
  <si>
    <t>PROPOSAL FOR SUPERVISION AND PROJECT MANAGEMENT OF MABULULWANE HALL IN WARD 8</t>
  </si>
  <si>
    <t>BI INFRASTRUCTURE CONSULTANTS (PTY) LTD</t>
  </si>
  <si>
    <t>&gt;CONTRACT VALUE SHOWN ON PAGE 70 OF THE CONTRACT
&gt;DELIVERABLES STATED ON THE SCOPE OF WORK (C3)
&gt;START DATE TAKEN FROM THE DATE ON WHICH OFFER AND ACCEPTANCE WAS SIGNED.
&gt;PERIOD OF 12 WEEKS GIVEN TO FINISH THE PROJECT ACCORDING TO THE TECHNICAL DIRECTOR - MSIZI GCABASHE</t>
  </si>
  <si>
    <t>NQU0080/224/2013/NGCOLOSI CONSULTING ENGINEERS</t>
  </si>
  <si>
    <t>PROPOSAL FOR SUPERVISION AND PROJECT MANAGEMENT OF MACHITSHANA HALL IN WARD 4</t>
  </si>
  <si>
    <t>NGCOLOSI CONSULTING ENGINEERS CC</t>
  </si>
  <si>
    <t>MAAA0246380</t>
  </si>
  <si>
    <t xml:space="preserve">&gt;APPOINTMENT LETTER SIGNED ON 18 AUGUST 2015, HENCE THE START DATE
&gt;SCOPE OF WORK INDICATED C3.1 ( p55)
&gt;CONTRACT VALUE INDICATED ON  FORM OF OFFER AND ACCEPTANCE 
</t>
  </si>
  <si>
    <t>NQU0080/218/2013/ILIFA AFRICA ENGINEERS</t>
  </si>
  <si>
    <t>PROPOSAL FOR SUPERVISION AND PROJECT MANAGEMENT OF GUBAZI HALL IN WARD 11</t>
  </si>
  <si>
    <t>&gt;CONTRACT VALUE SEEN ON PAGE 2 OF THE BID DOCUMENT
&gt;GENERAL CONDITIONS OF CONTRACT SIGNED
&gt;DELIVERABLES FOUND ON THE SCOPE OF WORK (C3)
&gt;START DATE TAKEN FROM THE DATE ON WHICH OFFER AND ACCEPTANCE WAS SIGNED
&gt;GENERALLY, 12 WEEKS (3 MONTHS) IS A PERIOD GIVEN FOR THESE PROJECTS OF DESIGN - SO SAYS THE TECHNICAL DIRECTOR, MR M. GCABASHE</t>
  </si>
  <si>
    <t>NQU0018/259/2015/NTSHIDI &amp; ASSOCIATES</t>
  </si>
  <si>
    <t>PROVISION OF INTERNAL AUDITING SERVICES FOR A PERIOD OF 36 MONTHS</t>
  </si>
  <si>
    <t>&gt;DELIVERABLES TABULATED IN THE TERMS OF REFERENCE.
&gt;DURATION IS STATED IN THE TERMS OF REFERENCE.
&gt;CONTRACT VALUE REFLECTED ON THE LIST OF THE CONTRACTS AWARDED.
&gt; THE CONTRACT AMOUNT ON THIS SPREADSHEET IS THE AMOUNT FOR 12 MONTHS, THE CONTRACT IS FOR THREE YEARS AND THEIR PRICE IS ESCALATING EVERY YEAR.</t>
  </si>
  <si>
    <t>NQU5000/271/2015/BEE &amp; TEE CONSTRUCTION</t>
  </si>
  <si>
    <t>REFURBISHMENT OF NQUTHU STORMWATER SOUTHERN CANAL</t>
  </si>
  <si>
    <t>BEE &amp; TEE CONSTRUCTION</t>
  </si>
  <si>
    <t>MAAA0019514</t>
  </si>
  <si>
    <t xml:space="preserve">&gt;TOTAL PAYMENTS OF R2 457 082.70 (BY 2016/09/15)
&gt;CONTRACT VALUE TAKEN FROM THE BILL OF QUANTITIES (PAGE C15 - C24.
&gt;START DATE TAKEN FROM THE FORM OF OFFER AND ACCEPTANCE.
&gt;DELIVERABLES ARE NOTED FROM THE BILL OF QUANTITIES AND THEY ALSO APPEAR ON THE SCOPE OF WORK.
</t>
  </si>
  <si>
    <t>NQU0021/250/2015/CLEAN SPOT SOLUTIONS</t>
  </si>
  <si>
    <t>SUPPLY AND DELIVER MUNICIPAL STAFF PROTECTIVE CLOTHING</t>
  </si>
  <si>
    <t>CLEAN SPOT SOLUTIONS</t>
  </si>
  <si>
    <t>MAAA0208979</t>
  </si>
  <si>
    <t xml:space="preserve">&gt;CONTRACT PRICE SHOWN ON PAGE 6 OF THE BID DOCUMENT
&gt;DELIVERABLES SHOWN ON PAGE 5 &amp; 6 OF THE BID DOCUMENT
&gt;START DATE TAKEN FROM THE CONTRACT FORM -PURCHASE OF GOODS/WORK SIGNED ON THE 12th AUGUST 2015
&gt;PERIOD OF 4 WEEKS GIVEN TO SUPPLY GOODS IN ORDERS OF THIS SIZE AND NATURE - ACCORDING TO SNIKEZIWE ZULU OF THE SUPPLY CHAIN MANAGEMENT.
</t>
  </si>
  <si>
    <t>NQU0055/257/2015/P ALBERTYN SPORTING SUPPLIES</t>
  </si>
  <si>
    <t>SUPPLY AND DELIVERY OF HEAVY DUTY PORTABLE SOCCER POLES AND SOCCER NETS</t>
  </si>
  <si>
    <t>P ALBERTYN SPORTING SUPPLIES</t>
  </si>
  <si>
    <t>MAAA0252313</t>
  </si>
  <si>
    <t>FACILITIES</t>
  </si>
  <si>
    <t xml:space="preserve">&gt;FORM OF OFFER AND ACCEPTANCE SIGNED ON 10 SEPTEMBER, 2015 HENCE THE START DATE.
&gt;CONTRACT VALUE INDICATED ON FORM OF OFFER AND ACCEPTANCE.
&gt;DESCRPTION OF GOODS INDICATED ON FORM OF OFFER AND ACCEPTANCE.
</t>
  </si>
  <si>
    <t>NQU0080/212/2014/ALLENBY HOUSING CC</t>
  </si>
  <si>
    <t>SUPPLY AND DELIVERY OF OFFICE CONTAINER TO TECHNICAL OFFICES</t>
  </si>
  <si>
    <t>ALLENBY HOUSING CC</t>
  </si>
  <si>
    <t>MAAA0024242</t>
  </si>
  <si>
    <t xml:space="preserve">&gt;GENERAL CONDITIONS OF CONTRACT SIGNED
&gt;START DATE TAKEN FROM THE DATE ON WHICH OFFER AND ACCEPTANCE WAS SIGNED.
&gt;CONTRACT VALUE TAKEN FROM THE FORM OF OFFER AND ACCEPTANCE
&gt;EXPENDITURE REPORT 2015/16 REFLECTS AN AMOUNT OF R592 344.00 PAID </t>
  </si>
  <si>
    <t>NQU5020/215/2014/SHANTI'S ELECTRICAL CONSTRUCTION CC</t>
  </si>
  <si>
    <t>SUPPLY, DELIVERY AND INSTALLATION OF 4 HIGH MASTS IN WARD 6 AND 14</t>
  </si>
  <si>
    <t>&gt;GENERAL CONDITIONS OF CONTRACT SIGNED.
&gt;START AND END DATES SEEN ON THE PROJECT PLAN PREPARED BY THE BIDDER.
&gt;DELIVERABLES OBSERVED ON THE BILL OF QUANTITIES ALSO STATED ON THE SCOPE OF WORK.</t>
  </si>
  <si>
    <t>NQU5060/202/2014/PMPZ &amp; VEZOKUHLE JV</t>
  </si>
  <si>
    <t>THE CONSTRUCTION OF MAFIHLENG SPORTFIELD</t>
  </si>
  <si>
    <t>PMPZ &amp; VEZOKUNGCONO JOINT VENTURE</t>
  </si>
  <si>
    <t>&gt;CONTRACT VALUE APPEARS ON THE FORM OF OFFER AND ACCEPTANCE.
&gt;DELIVERABLES ARE IN THE SCOPE OF WORK AND ON THE BILL OF QUANTITIES.
&gt;START DATE IS IN THE FORM OF OFFER AND ACCEPTANCE.
&gt;PROJECT DURATION IS 6 MONTHS AS ADVISED BY THE TECHNICAL DIRECTOR.</t>
  </si>
  <si>
    <t>NQU5000/260/2015/ZINGEZETHU TRADING &amp; PROJECTS 44 CC</t>
  </si>
  <si>
    <t>THE CONSTRUCTION OF MASAKHANE ROAD</t>
  </si>
  <si>
    <t>ZINGEZETHU TRADING &amp; PROJECTS 44 CC</t>
  </si>
  <si>
    <t>MAAA0009260</t>
  </si>
  <si>
    <t>&gt;CONTRACT VALUE TAKEN FROM FORM OF OFFER AND ACCEPTANCE. ALSO APPEARS ON THE BILL OF QUANTITIES.
&gt;START DATE IS TAKEN FROM THE DATE OF SIGNATURE IN THE FORM OF OFFER AND ACCEPTANCE.
&gt;DELIVERABLES ARE REFLECTED ON THE SCOPE OF WORKS.
&gt;CONTRACT PERIOD IS 6 MONTHS AS STATED BY MSIZI GCABASHE, TECHNICAL DIRECTOR FOR THE MUNICIPALITY.</t>
  </si>
  <si>
    <t>NQU5000/243/2014/MFISO CONTRACTORS CC</t>
  </si>
  <si>
    <t>THE CONSTRUCTION OF MPOLWENI CAUSEWAY</t>
  </si>
  <si>
    <t>MFISO CONTRACTORS CC</t>
  </si>
  <si>
    <t>MAAA0111837</t>
  </si>
  <si>
    <t>&gt;LATEST PAYMENT OF R117 421.17 MADE ON 2016/09/15
&gt;START AND END DATES ARE FOUND IN THE PROJECT PLAN.
&gt;CONTRACT VALUE APPEARS ON THE BILL OF QUANTITIES.
&gt;DELIVERABLES APPEAR BOTH ON THE SCOPE OF WORK AND ON THE BILL OF QUANTITIES</t>
  </si>
  <si>
    <t>NQU5000/248/2015/SNOTHILE TRADING</t>
  </si>
  <si>
    <t>THE CONSTRUCTION OF PHOQUKHALO ACCESS ROAD IN WARD 7</t>
  </si>
  <si>
    <t>SNOTHILE TRADING</t>
  </si>
  <si>
    <t>MAAA0167550</t>
  </si>
  <si>
    <t>&gt;CONTRACT VALUE IS SEEN IN THE FORM OF OFFER AND ACCEPTANCE.
&gt;DELIVERABLES ARE FOUND IN THE SCOPE OF WORK AND ALSO APPEARS IN THE BILL OF QUANTITIES.
&gt;START DATE IS TAKEN FROM THE FORM OF OFFER AND ACCEPTANCE.
&gt;CONTRACT PERIOD IS 6 MONTHS AND THAT WAS CONFIRMED BY MSIZI GCABASHE, TECHNICAL DIRECTOR.</t>
  </si>
  <si>
    <t>NQU0100/266/2015/NMI DURBAN SOUTH MOTORS</t>
  </si>
  <si>
    <t>TRUCK TRAILER (HORSE) 41 TON TRI AXLE LOWBED</t>
  </si>
  <si>
    <t>NMI DURBAN SOUTH MOTORS</t>
  </si>
  <si>
    <t>MAAA0116094</t>
  </si>
  <si>
    <t>&gt;CONTRACT PRICE IS FOUND IN FORM OF OFFER AND ACCEPTANCE.
&gt;START DATE IS ALSO FOUND ON THE FORM OF OFFER AND ACCEPTANCE.
&gt;ACCORDING TO SNIKEZIWE ZULU (SUPPLY CHAIN MANAGEMENT) CONTRACTS OF THIS NATURE ARE GIVEN ONE MONTH (4 WEEKS).
&gt;DELIVERABLES ARE EXPLICITLY STATED IN THE BID.</t>
  </si>
  <si>
    <t>NQU5050/274/2015/UPHENYO TRADING CC</t>
  </si>
  <si>
    <t>CONSTRUCTION OF GUBAZI COMMUNITY HALL</t>
  </si>
  <si>
    <t>UPHENYO TRADING CC</t>
  </si>
  <si>
    <t>MAAA0026652</t>
  </si>
  <si>
    <t xml:space="preserve">&gt;LATEST PAYMENT OF R 777 336.14, MADE ON 2016/08/31
&gt;CONTRACT VALUE TAKEN FROM THE BILL OF QUANTITIES. IT ALSO APPEARS ON THE FORM OF OFFER AND ACCEPTANCE.
&gt;FORM OF OFFER AND ACCEPTANCE SIGNED .
&gt;THERE IS NO END DATE ON THE FILE, THIS WAS CALCULATED FROM THE START DATE ON THE BASIS THAT MR MSIZI GCABASHE SUBMITTED THAT CONTRACTS OF THIS NATURE AND SIZE ARE NORMALLY GIVEN 6 MONTHS.
</t>
  </si>
  <si>
    <t>NQU5000/280/2015/SIYAYA CONSTRUCTION</t>
  </si>
  <si>
    <t>UPGRADE OF NHLOYA BRIDGE</t>
  </si>
  <si>
    <t>SIYAYA CONSTRUCTION</t>
  </si>
  <si>
    <t>MAAA0118965</t>
  </si>
  <si>
    <t>&gt;GENERAL CONDITIONS OF CONTRACT SIGNED.
&gt;LATEST PAYMENT OF R840 914.73, MADE ON 2016/08/31
&gt;DELIVERABLES OBSERVED ON THE BILL OF QUANTITIES ALSO STATED ON THE SCOPE OF WORK.
&gt;CONTRACT VALUE REFLECTED ON THE FORM OF OFFER AND ACCEPTANCE SIGNED BY BOTH PARTIES.</t>
  </si>
  <si>
    <t xml:space="preserve">NQU5050/263/2015/BRIGHT IDEA PROJECT 487 CC </t>
  </si>
  <si>
    <t>CONSTRUCTION OF A NEW COMMUNITY HALL AT WARD 16- HALADU</t>
  </si>
  <si>
    <t>THOKOZANI VILAKAZI</t>
  </si>
  <si>
    <t xml:space="preserve">&gt;FORM OF OFFER AND ACCEPTANCE SIGNED ON 23 OCTOBER 2016, HENCE THE START DATE.
&gt;CONTRACT VALUE INDICATED ON FORM OF OFFER AND ACCEPTANCE. 
</t>
  </si>
  <si>
    <t xml:space="preserve">NQU0080/217/2013/ S ZOKO CONSULTING </t>
  </si>
  <si>
    <t>PROPOSAL FOR DESIGN AND PROJECT MANAGEMENT OF MAGOGO ROAD EXTENTION IN WARD 03</t>
  </si>
  <si>
    <t>MAAA0139653</t>
  </si>
  <si>
    <t xml:space="preserve">&gt; AN MOUNT OF R570 574.19 HAS BEEN PAID  (BY 2016/09/30) 
&gt;FORM OF OFFER AND ACCEPTANCE SIGNED .
&gt;CONTRACT VALUE INDICATED ON FORM OF OFFER AND ACCEPTANCE.
&gt;SCOPE OF WORK INDICATED C3.1(P.54-55)
</t>
  </si>
  <si>
    <t>NQU5000/273/2015/RIVER QUEEN TRADING 249</t>
  </si>
  <si>
    <t>CONSTRUCTION OF MAGOGO ACCESS ROAD</t>
  </si>
  <si>
    <t xml:space="preserve">&gt;FORM OF OFFER AND ACCEPTANCE SIGNED ON 28 JANUARY 2016.
&gt;CONTRACT VALUE INDICATED ON FORM OF OFFER AND ACCEPTANCE.
&gt;SCHEDULE OF QUANTITIES INDICATED ON Pg 95-114
&gt; AN MOUNT OF R963 921 .87  HAS BEEN PAID  (BY 2016/08/31)
</t>
  </si>
  <si>
    <t>NQU5000/236/2013/ S ZOKO CONSULTING</t>
  </si>
  <si>
    <t>DESIGN AND PROJECT MANAGEMENT OF LANGAKAZI ROAD IN WARD 09</t>
  </si>
  <si>
    <t xml:space="preserve">&gt;FORM OF OFFER AND ACCEPTANCE SIGNED ON 13 JULY 2015, HENCE THE START DATE.
&gt;CONTRACT VALUE INDICATED ON FORM OF OFFER AND ACCEPTANCE.
&gt;SCOPE OF WORK INDICATED C3.1(P.54-55)
</t>
  </si>
  <si>
    <t>NQU5050/214/2014/MELA OKUHLE TRADING ENTERPRIZE</t>
  </si>
  <si>
    <t>CONSTRUCTION OF ZICOLE COMMUNITY HALL</t>
  </si>
  <si>
    <t xml:space="preserve">&gt;FORM OF OFFER AND ACCEPTANCE SIGNED.
&gt;CONTRACT VALUE INDICATED ON FORM OF OFFER AND ACCEPTANCE.
&gt;BILL OF QUANTITIES INDICATED ON C2.2 
</t>
  </si>
  <si>
    <t xml:space="preserve">NQU0080/226/2013/MMK ENGINEERS AND PROJECT MANAGERS ENGINEERS </t>
  </si>
  <si>
    <t>SUPERVISION AND PROJECT MANAGEMENT OF MAHLUNGULU HALL IN WARD 06</t>
  </si>
  <si>
    <t xml:space="preserve">MMK ENGINEERS AND PROJECT MANAGERS ENGINEERS </t>
  </si>
  <si>
    <t xml:space="preserve">&gt;FORM OF OFFER AND ACCEPTANCE SIGNED ON 31 AUGUST 2015, HENCE THE START DATE.
&gt;LATEST PAYMENT OF 24 937.50 , WAS MADE ON 2016/08/25
&gt;CONTRACT VALUE INDICATED ON FORM OF OFFER AND ACCEPTANCE.
&gt;SCOPE OF WORK INDICATED C3.1 (pg.55) 
</t>
  </si>
  <si>
    <t>NQU0080/233/2013/VUMESA (PTY) LTD</t>
  </si>
  <si>
    <t>PROPOSAL FOR DESIGN AND PROJECT MANAGEMENT OF NONDWENI ROAD IN WARD 06</t>
  </si>
  <si>
    <t xml:space="preserve">&gt;FORM OF OFFER AND ACCEPTANCE SIGNED.
&gt;FINAL PAYMENT OF R82 231.57, WAS MADE ON 2016/08/01
&gt;CONTRACT VALUE INDICATED ON FORM OF OFFER AND ACCEPTANCE.
&gt;SCOPE OF WORK INDICATED C3.1 (pg.55)
</t>
  </si>
  <si>
    <t>NQU0080/240/2014/RB PROJECT MANAGERS AND CONSULTANTS CC</t>
  </si>
  <si>
    <t>PROPOSAL FOR SUPERVISION AND PROJECT MANAGEMENT OF MAFIHLENG HALL IN WARD 13</t>
  </si>
  <si>
    <t>MAAA0298219</t>
  </si>
  <si>
    <t xml:space="preserve">&gt;FORM OF OFFER AND ACCEPTANCE SIGNED ON 02 NOVEMBER 2015, HENCE THE START DATE.
&gt;CONTRACT VALUE INDICATED ON FORM OF OFFER AND ACCEPTANCE.
&gt;SCOPE OF WORK INDICATED C3.1 (pg.54-55) 
</t>
  </si>
  <si>
    <t>NQU0080/223/2013/VUMESA (PTY) LTD</t>
  </si>
  <si>
    <t>PROPOSAL FOR DESIGN AND PROJECT MANAGEMENT OF UBEMBA ROAD IN WARD 01</t>
  </si>
  <si>
    <t xml:space="preserve">&gt;FORM OF OFFER AND ACCEPTANCE SIGNED ON 15 JULY 2015, HENCE THE START DATE.
&gt;CONTRACT VALUE INDICATED ON FORM OF OFFER AND ACCEPTANCE.
&gt;SCOPE OF WORK INDICATED C3.1 (p55)
</t>
  </si>
  <si>
    <t>NQU5000/192/2014/VIP CONSTRUCTION</t>
  </si>
  <si>
    <t>CONSTRUCTION OF PITSO GRAVEL ROAD WARD 15</t>
  </si>
  <si>
    <t xml:space="preserve">&gt;GENERAL CONDITIONS OF CONTRACT SIGNED
&gt; FORM OF OFFER AND ACCEPTANCE SIGNED.
&gt;CONTRACT VALUE APPEARS ON THE BID DOCUMENT.
&gt; SCOPE OF WORK C3.  
</t>
  </si>
  <si>
    <t>NQU5000/187/2014/VIP CONSTRUCTION</t>
  </si>
  <si>
    <t>CONSTRUCTION OF LUVISI GRAVEL ACCESS ROAD</t>
  </si>
  <si>
    <t>NQU0056/253/2015/EMERGENCY AFRICAN SERVICES</t>
  </si>
  <si>
    <t>SUPPLY AND DELIVERY OF FIRE AND RESCUE EQUIPMENT</t>
  </si>
  <si>
    <t xml:space="preserve">&gt; FORM OF OFFER AND ACCEPTANCE SIGNED.
&gt;CONTRACT VALUE APPEARS ON THE BID DOCUMENT.
&gt;PAYMENTS TOTAL OF R689 241.92, APPEAR IN THE 2015/2016 EXPENDITURE REPORT 
</t>
  </si>
  <si>
    <t>NQU0056/253/2015/ZAMAHLUBI CONSTRUCTION AND TRADING (PTY) LTD</t>
  </si>
  <si>
    <t>SUPPLY AND DELIVERY OF FIRE TANKER 13.OL ENGINE CAPACITY, DIESEL SINGLE CAB</t>
  </si>
  <si>
    <t>ZAMAHLUBI CONSTRUCTION TRADING (PTY) LTD</t>
  </si>
  <si>
    <t>MAAA0233818</t>
  </si>
  <si>
    <t xml:space="preserve">&gt;GENERAL CONDITIONS OF CONTRACT SIGNED
&gt; FORM OF OFFER AND ACCEPTANCE SIGNED.
&gt;CONTRACT VALUE APPEARS ON THE BID DOCUMENT.
&gt;SPECIFICATION ATTACHED
&gt;TWO SEPARATE PAYMENTS OF R1 094 500.00, (EACH) APPEAR ON THE EXPENDITURE REPORT 2015/2016
</t>
  </si>
  <si>
    <t>NQU0080/220/2013/AFRI-INFRA GROUP (PTY) LTD</t>
  </si>
  <si>
    <t>PROPOSAL FOR DESIGN AND PROJECT MANAGEMENT OF VEHICLE TESTING GROUND IN WARD 14</t>
  </si>
  <si>
    <t>MAAA0154565</t>
  </si>
  <si>
    <t xml:space="preserve">&gt; FORM OF OFFER AND ACCEPTANCE SIGNED.
&gt;CONTRACT VALUE APPEARS ON THE BID DOCUMENT.
&gt; SCOPE OF WORK C3. 
&gt;PAYMENTS APPEAR IN THE  2015/2016 EXPENDITURE REPORT 
</t>
  </si>
  <si>
    <t>NQU0080/234/2013/CSL CONSULTING (PTY) LTD</t>
  </si>
  <si>
    <t>PROPOSAL FOR SUPERVISION AND PROJECT MANAGEMENT OF MAGABENI CRECHE IN WARD 07</t>
  </si>
  <si>
    <t>CSL CONSULTING (PTY) LTD</t>
  </si>
  <si>
    <t xml:space="preserve"> &gt; FORM OF OFFER AND ACCEPTANCE SIGNED.
&gt;CONTRACT VALUE APPEARS ON THE BID DOCUMENT.
&gt; SCOPE OF WORK C3. 
</t>
  </si>
  <si>
    <t xml:space="preserve">BUSIZWE TRADE &amp; SUPPLIERS </t>
  </si>
  <si>
    <t>NQU0080/110/2013/MASIQHAME TRADING 347 CC</t>
  </si>
  <si>
    <t>CONSTRUCTION OF GWEBENI HALL</t>
  </si>
  <si>
    <t>MASIQHAME TRADING 347 CC</t>
  </si>
  <si>
    <t>MAAA0223453</t>
  </si>
  <si>
    <t xml:space="preserve">NQU5000/193/2014/SURPRISER CONTRACTING AND TRADING </t>
  </si>
  <si>
    <t>CONSTRUCTION OF NQUTHU INDOOR SPORTS FACILITY</t>
  </si>
  <si>
    <t xml:space="preserve">SURPRISER CONTRACTING AND TRADING </t>
  </si>
  <si>
    <t>MAAA0055394</t>
  </si>
  <si>
    <t xml:space="preserve">&gt;GENERAL CONDITIONS OF CONTRACT SIGNED
&gt; FORM OF OFFER AND ACCEPTANCE SIGNED.
&gt;CONTRACT VALUE APPEARS ON THE BID DOCUMENT.
&gt;PAYMENTS TOTALING R434 791.72, PAID AS PER EXPENDITURE REPORT 2015/16
</t>
  </si>
  <si>
    <t>NQU0030/258/2015/ENDUTRAC CC</t>
  </si>
  <si>
    <t xml:space="preserve">SUPPLY AND DELIVERY OF FARMING IMPLEMENTS </t>
  </si>
  <si>
    <t>&gt;GENERAL CONDITIONS OF CONTRACT SIGNED
&gt; FORM OF OFFER AND ACCEPTANCE SIGNED.
&gt;CONTRACT VALUE APPEARS ON THE BID DOCUMENT.
&gt;SCOPE OF WORK C3. 
&gt;A SINGLE PAYMENT OF R563 901.00 APPEAR ON THE EXPENDITURE REPORT 2015/16</t>
  </si>
  <si>
    <t>NQU0100/267/2015/BABCOCK AFRICA SERVICES</t>
  </si>
  <si>
    <t xml:space="preserve">SUPPLY AND DELIVERY OF 32 TON EXCAVATOR </t>
  </si>
  <si>
    <t>BABCOCK AFRICA SERVICES (PTY) LTD</t>
  </si>
  <si>
    <t>MAAA0056762</t>
  </si>
  <si>
    <t xml:space="preserve">&gt;CONTRACT VALUE APPEARS ON THE BID DOCUMENT.
&gt;SPECIFICATION ATTACHED
&gt;PAYMENT APPEAR ON THE EXPENDITURE REPORT 2015/16
</t>
  </si>
  <si>
    <t>NQU0093/105/2013/GIBB ENGINEERING AND SCIENCE</t>
  </si>
  <si>
    <t>TECHNICAL AND FINANCIAL PROPOSAL FOR THE DEVELOPMENT OF INTEGRATED WASTE MANAGEMENT PLAN</t>
  </si>
  <si>
    <t>GIBB ENGINEERING AND SCIENCE</t>
  </si>
  <si>
    <t>SOLID WASTE</t>
  </si>
  <si>
    <t xml:space="preserve">&gt;GENERAL CONDITIONS OF CONTRACT SIGNED
&gt;CONTRACT VALUE APPEARS ON THE BID DOCUMENT
&gt;START DATE TAKEN FROM THE DATE ON WHICH THE FORM OF OFFER AND ACCEPTANCE WAS SIGNED
</t>
  </si>
  <si>
    <t xml:space="preserve">NQU0080/172/2013/NQE TRADING </t>
  </si>
  <si>
    <t xml:space="preserve">CONSTRUCTION OF NTEKELENI CRECHE </t>
  </si>
  <si>
    <t>NQE TRADING CC</t>
  </si>
  <si>
    <t>MAAA0116390</t>
  </si>
  <si>
    <t xml:space="preserve">&gt;GENERAL CONDITIONS OF CONTRACT SIGNED
&gt;CONTRACT VALUE APPEARS ON THE BID DOCUMENT
&gt;BILL OF QUANTITIES INDICATED ON C2.2
&gt;THREE PAYMENTS TOTALING R215 973.01, APPEAR ON THE EXPENDITURE REPORT 2015/16
&gt; SCOPE OF WORK C3.1.3.1
</t>
  </si>
  <si>
    <t>NQU0080/80/2012/ZOMA  ENGINEERS AND PROJECT MANAGERS</t>
  </si>
  <si>
    <t>PROPOSAL FOR DESIGN AND PROJECT MANAGEMENTOF NKANDE SPORT FACILITY IN WARD 17</t>
  </si>
  <si>
    <t>ZOMA  ENGINEERS AND PROJECT MANAGERS</t>
  </si>
  <si>
    <t>MAAA0384051</t>
  </si>
  <si>
    <t xml:space="preserve">&gt; LATEST PAYMENT OF R90 171.79, WAS MADE ON 2016/09/30
&gt;FORM OF OFFER AND ACCEPTANCE SIGNED.
&gt;CONTRACT VALUE APPEARS ON THE BID DOCUMENT.
&gt; SCOPE OF WORK C3. 
</t>
  </si>
  <si>
    <t>NQU0080/156/2013/MOLEMO CONSULTING ENGINEERS</t>
  </si>
  <si>
    <t>PROPOSAL FOR DESIGN AND PROJECT MANAGEMENT OF PHOQUKHALO ROAD IN WARD 07</t>
  </si>
  <si>
    <t xml:space="preserve">MOLEMO CONSULTING ENGINEERS </t>
  </si>
  <si>
    <t>MAAA0003958</t>
  </si>
  <si>
    <t xml:space="preserve">&gt; FORM OF OFFER AND ACCEPTANCE SIGNED.
&gt;CONTRACT VALUE APPEARS ON THE BID DOCUMENT.
&gt; SCOPE OF WORK C3. 
&gt;AN AMOUNT OF R164 495.36, APPEAR ON THE EXPENDITURE REPORT 2015/16
</t>
  </si>
  <si>
    <t>NQU0030/56/2011_RIVER QUEEN TRADING</t>
  </si>
  <si>
    <t>ESTABLISHMENT OF INCUBATOR PHASE II</t>
  </si>
  <si>
    <t>NQU0030/74/2010_METROPROJECTS DEVELOPMENTS</t>
  </si>
  <si>
    <t>NONDWENI HOUSING PROJECT</t>
  </si>
  <si>
    <t>METROPROJECTS DEVELOPMENTS</t>
  </si>
  <si>
    <t>NQU0080/174/2013/DLV ENGINEERS AND PROJECT MANAGERS</t>
  </si>
  <si>
    <t>PROPOSAL FOR DESIGN,SUPERVISION AND PROJECT MANAGEMENT FOR NQUTHU STORMWATER MANAGEMENT AND SURFACING OF INTERNAL ROADS IN WARD 14</t>
  </si>
  <si>
    <t>MAAA57242</t>
  </si>
  <si>
    <t xml:space="preserve">&gt; FORM OF OFFER AND ACCEPTANCE SIGNED.
&gt;CONTRACT VALUE APPEARS ON THE BID DOCUMENT.
&gt; SCOPE OF WORK C3. 
</t>
  </si>
  <si>
    <t>ZASEMACINEKENI TRD &amp; PROJECTS - NQU5000/297/2015</t>
  </si>
  <si>
    <t>CONSTRUCTION OF EKUDUKENI GRAVEL ACCESS ROAD WARD 17 (PHASE 1)</t>
  </si>
  <si>
    <t>ZASEMACINEKENI TRADING &amp; PROJECTS CC</t>
  </si>
  <si>
    <t>MAAA0114273</t>
  </si>
  <si>
    <t>S. CELE</t>
  </si>
  <si>
    <t xml:space="preserve">&gt; THE CONTRACT CONTAINS A LETTER OF APOINTMENT AND ACCEPTANCE, WITH A CONTRACT VALUE OF R1 368 443.05, DATED 2016/09/27 AND SIGNED BY BOTH PARTIES. 
&gt; THE COMMENCEMENT DATE OF THE CONTRACT HAS BEEN TAKEN FROM THE APPOINTMENT LETTER. 
&gt; THE CONTRACT CONTAINS STANDARD CONDITIONS OF TENDER IDENTIFIED BY ANNEXURE F OF SANS 294. Pg5 ( T1.2 ) OF TENDER DOCUEMNT.
&gt; NO PAYMENTS MADE YET AGAINST THE CONTRACT
</t>
  </si>
  <si>
    <t>TSW CONSTRUCTION - NQU5000/289/2015</t>
  </si>
  <si>
    <t>CONSTRUCTION OF MASHANGANENI ACCESS ROAD WARD 2  - NQUTHU AREA</t>
  </si>
  <si>
    <t xml:space="preserve">TSW CONSTRUCTION </t>
  </si>
  <si>
    <t xml:space="preserve">&gt; THE CONTRACT CONTAINS A LETTER OF APOINTMENT AND ACCEPTANCE, WITH A CONTRACT VALUE OF R1 735 404.12, DATED 2016/09/27 AND SIGNED BY BOTH PARTIES. 
&gt; THE COMMENCEMENT DATE OF THE CONTRACT HAS BEEN TAKEN FROM THE APPOINTMENT LETTER. 
&gt; THE CONTRACT CONTAINS STANDARD CONDITIONS OF TENDER AS CONTAINED IN ANNEXURE F OF SANS 294. Pg( T.4 ) OF TENDER DOCUEMNT.
&gt; FORM OF OFFER AND ACCEPTANCE IS SIGNED BY THE CONTRACTOR.
</t>
  </si>
  <si>
    <t>NDLUMBE TRADING (PTY)LTD - NQU5000/291/2015</t>
  </si>
  <si>
    <t>CONSTRUCTION OF SAVUYE GRAVEL ACCESS ROAD WARD 3  - PHASE 1</t>
  </si>
  <si>
    <t>NDLUMBI TRADING (PTY)LTD</t>
  </si>
  <si>
    <t>MAAA0333272</t>
  </si>
  <si>
    <t>S.CELE</t>
  </si>
  <si>
    <t xml:space="preserve">&gt; THE CONTRACT CONTAINS A LETTERS OF APPOINTMENT AND ACCEPTANCE, SIGNED BY BOTH PARTIES TO THE AGREEMENT
&gt; THE START DATE OF THE CONTRACT HAS BEEN TAKEN FROM APPOINTMENT DATE
&gt; PAGE T.65 UNDER CLAUSE K. FOR PROVISIONAL PROGRAMME,  IN A BID DOCUMENT INDICATES THE DURATION OF A CONTRACT BEING 4 MONTHS FROM THE DATE OF SITE ESTABLISHMENT.
&gt; THE CONTRACT CONSISTS OF THE STANDARD CONDITIONS OF TENDER AS CONTAINED IN ANNEXURE F OF SANS 294 - CONSTRUCTION PROCUREMENT PROCESES.
</t>
  </si>
  <si>
    <t>MANCINZA CIVIL CONTRUCTORS - NQU5050/292/2015</t>
  </si>
  <si>
    <t xml:space="preserve">FENCING AT NQUTHU FIRE STATION </t>
  </si>
  <si>
    <t>MANCINZA CIVIL CONTRACTORS AND ROADS</t>
  </si>
  <si>
    <t>MAAA0147152</t>
  </si>
  <si>
    <t xml:space="preserve">&gt; THE CONTRACT CONTAINS A LETTERS OF APPOINTMENT AND ACCEPTANCE, SIGNED BY BOTH PARTIES TO THE AGREEMENT
&gt; THE START DATE OF THE CONTRACT HAS BEEN TAKEN FROM APPOINTMENT DATE.
</t>
  </si>
  <si>
    <t>SELE &amp; MUSA TRADING &amp; TOURS - NQU5050/247/2015</t>
  </si>
  <si>
    <t xml:space="preserve">CONSTRUCTION OF GOLOKODO ACCESS ROAD </t>
  </si>
  <si>
    <t>SELE AND MUSA TRADING &amp; TOURS</t>
  </si>
  <si>
    <t xml:space="preserve">&gt; THE CONTRAC CONTAINS A LETTER OF APPOINTMENT AND ACCEPTANCE, SIGNED BY BOTH PARTIES. 
&gt; THE CONTRACT START DATE HAS BEEN TAKEN FROM THE LETTER OF APPOINTMENT
&gt; THE CONTRACT CONTAINS STANDARD CONDITIONS OF TENDER IN T1.2 -  BID DOCUMENT
&gt; DELIVERABLES ARE CONTAINED UNDER THE BILL OF QUANTIES FROM PAGE C2.2 TO C2.2.12
</t>
  </si>
  <si>
    <t>VIP CONSTRUCTION - NQU5000/279/2015</t>
  </si>
  <si>
    <t>CONSTRUCTION OF UBEMBA ACCESS ROAD  - WARD 1</t>
  </si>
  <si>
    <t xml:space="preserve">VIP CONSTRUCTION </t>
  </si>
  <si>
    <t>&gt; FORM OF OFFER AND ACCEPTANCE NOT SIGNED BY THE EMPLOYER
&gt; TENDER CONTAINS STANDARD CONDITIONS OF BID AS CONTAINED IN ANNEXURE F OF CIDB STANDARD FOR UNIFORMITY
&gt; THE VALUE OF THE CONTRACT HAS BEEN TAKEN FROM THE FIRST PAGE OF A BID DOCUMENT
&gt; DELIVERABLES ARE STATED ON THE SCOPE OF WORKS FROM PAGE C45 AND ALSO ON HE BILL OF QUANTITIES
&gt; NO PAYMENTS MADE YET AGAINST THE TENDER</t>
  </si>
  <si>
    <t>IBUTHO PROJECTS (PTY) LTD - NQU5050/293/2015</t>
  </si>
  <si>
    <t>CONSTRUCTION OF VEHICLE TESTING GROUND</t>
  </si>
  <si>
    <t>IBUTHO PROJECTS (PTY) LTD</t>
  </si>
  <si>
    <t>MAAA0319522</t>
  </si>
  <si>
    <t>&gt; THE CONTRACT CONTAINS A LETTER OF APPOINTMENT WITH A CONTRACT VALUE OF R5 181 020.13AND SIGNED BY THE MUNICIPAL MANAGER ONLY.
&gt; DELIVERABLES ARE CONTAINED FROM THE BILL OF QUANTITIES FROM PAGE  C.19 TO PAGE C.35 IN A BID DOCUMENT 
&gt; THE CONTRACT CONTAINS STANDARD CONDITION OF TENDER AS CONTAINED IN ANEXURE F FO SANS294 - PAGE T.13 OF A BID DOCUMENT</t>
  </si>
  <si>
    <t>SGM BUSINESS PROJECTS - NQU0080/235/2013</t>
  </si>
  <si>
    <t xml:space="preserve">CONSTRUCTION OF MANTULI ROAD </t>
  </si>
  <si>
    <t xml:space="preserve">SGM BUSINESS PROJECTS </t>
  </si>
  <si>
    <t>MAAA0090426</t>
  </si>
  <si>
    <t>&gt;THE CONTRACT CONTAINS A LETTER OF APPOINTMENT AND ACCEPTANCE, SIGNED BY BOTH PARTIES.
&gt; THE VALUE OF THE CONTRACT HAS BEEN TAKEN FROM THE FIRST PAGE OF A BID DOCUMENT.
&gt; THE CONTRACT CCONSISTS OF STANDARD CONDITIONS OF TENDER CONTAINED IN ANNEXURE F, OF CIDBSTANDARD FOR UNIFORMITY - PAGE 12 OF A BID DOCUMENT.
&gt; THE START DATE OF THE CONTRACT HAS BEEN TAKEN FROM THE LETTER OF APPOINTMENT.
&gt; THE NATURE OF THESE CONTRACTS ARE NORMALLY SIX MONTHS ACCORDING TO THE TECHNICAL MANAGER.
&gt; DELIVERABLE ARE CONTAINED IN THE BILL OF QUANTITIES - PG C2.2.1 TO C2.2.16</t>
  </si>
  <si>
    <t>SANTO CIVILS TRANS AND MAINTENANCE - NQU5000/288/2015</t>
  </si>
  <si>
    <t>CONSTRUCTION OF NDATSHANA ACCESS ROAD  - WARD 16</t>
  </si>
  <si>
    <t xml:space="preserve">SANTO CIVILS TRANS AND MAINTENANCE </t>
  </si>
  <si>
    <t>MAAA0295965</t>
  </si>
  <si>
    <t xml:space="preserve">YES </t>
  </si>
  <si>
    <t xml:space="preserve">&gt; THE CONTRACT CONTAINS A LETTER OF APPOINTMENT NOT SIGNED BY BOTH PARTIES TO THE AGREEMENT.
&gt; THE BID DOCUMENT CONTAINS THE VALUE OF THE CONTRACTTO THE AMOUNT OF R1 060 000.00,  AT THE FIRST PAGE 
&gt; THE BID DOCUMENT CONTAINS  STANDARD CONDITIONS OF TENDER IN PAGE T4, CLAUSE T1.2.1
&gt; THE START DATE OF THE CONTRACT HAS BEEN TAKEN FROM THE LETTER OF APPOINTMENT
&gt; THE FORM OF OFFER AND ACCEPTANCE UNDER THE PAGE C1.3 HAS ONLY BEEN SIGNED BY THE CONTRACTOR.
&gt; DELIVERABLE HAVE BEEN SHOWN FROM THE PAGE C2.2 , UNDER THE HEADING "BILL OF QUANTITIES".
&gt; THE DURATION PERIOD HAS BEEN TEKEN FROM THE LOOSE PAGE WHICH INDICATE MILESTONES AND TASKSIN A BID DOCUMENT.
</t>
  </si>
  <si>
    <t xml:space="preserve">NQU5050/278/2015/ BRIGHT IDEA PROJECTS 487 </t>
  </si>
  <si>
    <t>CONSTRUCTION OF MACHITSHANA COMMUNITY HALL  - WARD 4</t>
  </si>
  <si>
    <t>&gt;THE CONTRACT INCLUDES AN APPOINTMENT AND ACCEPTANCE, SIGNED BY BOTH PARTIES.
&gt; THE CONTRACT CONSISTS OF STANDARD CONDITIONS OF TENDER CONTAINED IN ANNEXURE F, OF THE CIDB STANDARD FOR UNIFORMITY.
&gt; THE FORM OF OFFER IS SIGNED BY THE CONTRACTOR WITH THE AMOUNT OF R3 718 576.48</t>
  </si>
  <si>
    <t>NQU5000/282/2015/ MELA OKUHLE TRADING CC</t>
  </si>
  <si>
    <t>CONSTRUCTION OF NONDWENI GRAVEL ROAD  - WARD 6</t>
  </si>
  <si>
    <t xml:space="preserve">&gt; THE CONTRACT CONSISTS OF STANDARD CONDITIONS OF BID CONTAINED IN ANNEXURE F OF CIDB STNDARD FOR UNIFORMITY.
&gt; THE CONTRACT CONSISTS OF A DURATION OF THREE MONTHS FROM 23 MAY 2016 TO AUGUST 08, 2016, REFER TO PAGE 1, UNDER TASK AND MILESTONES IN THE BID DOCUMENT.
</t>
  </si>
  <si>
    <t xml:space="preserve">NQU5000/283/2015/ SIPHO GLASS CONSTRUCTION AND GENERAL </t>
  </si>
  <si>
    <t xml:space="preserve">CONSTRUCTION OF LANGAKAZI ACCESS ROAD </t>
  </si>
  <si>
    <t>SIPHO GLAD CONSTRUCTION AND GENERAL</t>
  </si>
  <si>
    <t>MAAA0280772</t>
  </si>
  <si>
    <t xml:space="preserve">&gt; THE CONTRACT CONSISTS OF STANDARD CONDITIONS OF TENDER CONTAINED IN ANNEXURE F OF CIDB STNDARD FOR UNIFORMITY.
&gt;  FORM OF OFFER SIGNED BY THE CONTRACTOR  </t>
  </si>
  <si>
    <t xml:space="preserve">NQU5050/284/2015/BSN BUSINESS ENTERPRISE </t>
  </si>
  <si>
    <t>CONSTRUCTION OF NGEDLA COMMUNITY HALL</t>
  </si>
  <si>
    <t xml:space="preserve">BSN BUSINESS ENTERPRISE </t>
  </si>
  <si>
    <t xml:space="preserve">&gt; THE CONTRACT CONSISTS OF SPECIAL CONDITIONS OF CONTRACT CONTAINED IN ANNEXURE F OF CIDB STNDARD FOR UNIFORMITY.
&gt;  FORM OF OFFER SIGNED BY THE CONTRACTOR WITH THE AMOUNT OF R2 498 807,18  </t>
  </si>
  <si>
    <t>NQU5000/285/2015/BUSIZWE TRADE AND SUPPLIERS CC</t>
  </si>
  <si>
    <t xml:space="preserve">CONSTRUCTION OF MANZEKHOFI ACCESS ROAD </t>
  </si>
  <si>
    <t>NQU0080/241/2014/ RB PROJECT MANAGERS AND CONSULTANTS</t>
  </si>
  <si>
    <t xml:space="preserve">PROPOSAL FOR SUPERVISION AND PROJECT MANAGEMENT OF JAMA RIDING FACILITY  - WARD 4 </t>
  </si>
  <si>
    <t>CONSULTING AND ENGINEERING SERVICES</t>
  </si>
  <si>
    <t>NQU5050/270/2015/SNOTHILE TRADING</t>
  </si>
  <si>
    <t>CONSTRUCTION OF MABULULWANE COMMUNITY HALL</t>
  </si>
  <si>
    <t>&gt;THE CONTRACT INCLUDES AN APPOINTMENT AND ACCEPTANCE, SIGNED BY BOTH PARTIES.
&gt; THE DURATION OF THE CONTRACT HAS BEEN TAKEN FROM THE FIRST PAGE OF A BID DOCUMENT.
&gt; THE CONTRACT CONSISTS OF STANDARD CONDITIONS OF TENDER CONTAINED IN ANNEXURE F, OF THE CIDB STANDARD FOR UNIFORMITY - PAGE 7 OF BIDDING PROCEDURES IN A BID DOCUMENT.
&gt; THE FORM OF OFFER IS SIGNED BY THE CONTRACTOR WITH THE AMOUNT OF R2 526 833.83</t>
  </si>
  <si>
    <t>NQU0020/296/2015/HARVEY WORLD TRAVEL</t>
  </si>
  <si>
    <t>APPOINTMENT OF A TRAVEL AGENT FOR THE PERIOD OF THREE YEARS</t>
  </si>
  <si>
    <t>MAAA0169224</t>
  </si>
  <si>
    <t>&gt; THE START DATE OF THIS CONTRACT WAS TAKEN FROM THE APPOINTMENT LETTER.
&gt; THE MUNICIPALITY WILL BE CHARGED R342 FOR BOOKING FEE, 10% HOTEL RESERVATION, R285 ADMIN FEE FOR REFUNDS AND 75% UPFRONT PAYMENT FOR QUOTATIONS OVER R100 000 ALSO CONSIDER 10% DISCOUNT.</t>
  </si>
  <si>
    <t>NQU0055/302/2017/SIBIYATECH (PTY) LTD</t>
  </si>
  <si>
    <t>SIBIYATECH (PTY) LTD</t>
  </si>
  <si>
    <t>MAAA0042448</t>
  </si>
  <si>
    <t>COMMUNITY AND SOCIAL SERVICES</t>
  </si>
  <si>
    <t>&gt; THE CONRACT CONTAINS A LETTER OF APPOINTMENT SIGNED BY BOTH PARTIES.
&gt;THE BID DOCUMENT CONTAINS THE VALUE OF THE CONTRACT TO THE VALUE OF R271 320.00
&gt; THESE SOCCER POLES AND NETS WILL BE DELIVERED TO ALL 17 WARDS OF THE MUNICIPALITY.</t>
  </si>
  <si>
    <t>SCM/340/16-17 / DR. TP NTULI</t>
  </si>
  <si>
    <t>APPOINTMENT OF A MEDICAL PRACTITIONER FOR A PERIOD OF 36 MONTHS</t>
  </si>
  <si>
    <t>DR. TP NTULI</t>
  </si>
  <si>
    <t>MAAA0116240</t>
  </si>
  <si>
    <t>23/01/2017</t>
  </si>
  <si>
    <t>&gt; THE CONTRACT CONTAINS A LETTER OF THE APPOINTMENT SIGNED BY BOTH PARTIES AND THE START DATE OF THE CONTRACT HAS ALSO BEEN TAKE FROM AN APPOINTMENT LETTER.
&gt; THE MUNICIPALITY WILL BE CHARGED R250.00 FOR MEDICAL CHECH UP PER EMPLOYEE AND R500 INCLUDING X-RAYS
&gt; THERE IS NO CONTRACT AMOUNT STATED IN THE APPOINTMENT LETTER.</t>
  </si>
  <si>
    <t>SCM/CIGICELL PREPAID (PTY) LTD</t>
  </si>
  <si>
    <t>HOSTING OF 3RD PARTY PREPAID ELECTRICAL VENDING SITE</t>
  </si>
  <si>
    <t>CIGICELL PREPAID (PTY) LTD</t>
  </si>
  <si>
    <t>MAAA0095194</t>
  </si>
  <si>
    <t>THIS CONTRACT EXPIRED ON 07 JUNE 2017 AND WAS EXTENDED ON MONTH TO MONTH BASIS</t>
  </si>
  <si>
    <t>SCM/G4S CASH SERVICES (SA)</t>
  </si>
  <si>
    <t>PROVISION OF CASH MANAGEMENT AND ANCILLIARY SERVICES</t>
  </si>
  <si>
    <t>G4S CASH SERVICES (SA)</t>
  </si>
  <si>
    <t>MAAA0086910</t>
  </si>
  <si>
    <t>THIS CONTRACT EXPIRED ON NOVEMBER 2017 AND THEY WERE GIVEN 12 MONTH EXTENSION</t>
  </si>
  <si>
    <t>NQU5070/304/2017/SIKHUMBULAKWENZA TRADING ENTERPRISE CC</t>
  </si>
  <si>
    <t>FENCING OF NONDWENI DUMPSITE</t>
  </si>
  <si>
    <t>SIKHUMBULAKWENZA TRADING ENTERPRISE CC</t>
  </si>
  <si>
    <t>MAAA0168692</t>
  </si>
  <si>
    <t>NQU0056/299/2017-UZALO SOLUTIONS</t>
  </si>
  <si>
    <t xml:space="preserve">SUPPLY AND INSTALL LIGHTNING CONDUCTORS FOR 24 MONTHS </t>
  </si>
  <si>
    <t>UZALO SOLUTIONS</t>
  </si>
  <si>
    <t>MAAA0368912</t>
  </si>
  <si>
    <t>R4450.00 EACH</t>
  </si>
  <si>
    <t>NQU0022/307/2017/KONICA MINOLTA SOUTH AFRICA</t>
  </si>
  <si>
    <t>SUPPLY, DELIVER, INSTALL AND MAINTENANCE OF MULTI-FUNCTION PRINTERS AND PHOTOCOPIERS</t>
  </si>
  <si>
    <t>KONICA MINOLTA SOUTH AFRICA</t>
  </si>
  <si>
    <t>MAAA0007692</t>
  </si>
  <si>
    <t>&gt;THE CONTRACT START DATE IS TAKEN FROM THE APPOINTMENT LETTER.                                       &gt;TWO MORE MACHINES WERE ADDED ONTO THIS CONTRACT TWO MONTHS AFTER THE START DATE OF THE CONTRACT BUT THE CONTRACT WILL END ON THE SAME DATE FOR ALL THE MACHINES, THAT MEANS THE OTHER TWO MACHINE'S CONTRACT WILL RUN FOR 34 MONTHS.</t>
  </si>
  <si>
    <t>PS01/2012-ALTECH NETSTAR</t>
  </si>
  <si>
    <t>INSTALLATION OF TRACKERS TO MUNICIPAL VEHICLES</t>
  </si>
  <si>
    <t>ALTECH NETSTAR</t>
  </si>
  <si>
    <t>MAAA0072337</t>
  </si>
  <si>
    <t xml:space="preserve">&gt;THE START DATE OF THIS CONTRACT IS TAKEN FROM THE SERVICE LEVEL AGREEMENT AND THE DURATION OF THIS CONTRACT IS 36 MONTHS. &gt;THE APPOINTMENT LETTER AND SERVICE LEVEL AGREEMENT IS SIGNED BY BOTH PARTIES.     </t>
  </si>
  <si>
    <t>MEDICAL GENERAL PRACTITIONER TO PROVIDE MEDICAL CHECK UPS FOR MUNICIPAL EMPLOYEES FOR A PERIOD OF 36 MONTHS</t>
  </si>
  <si>
    <t>R500 pre-medical check ups including x-rays, R250 examination excluding x-rays, R250 treating emplyees excluding x-rays</t>
  </si>
  <si>
    <t xml:space="preserve">&gt;THE START DATE OF THIS CONTRACT IS TAKEN FROM THE APPOINTMENT LETTER AND THE DURATION OF THIS CONTRACT IS 36 MONTHS.    &gt;THE APPOINTMENT LETTER IS SIGNED BY BOTH PARTIES.     </t>
  </si>
  <si>
    <t>SCM/1239/15-16_ETHEMBA COMPUTERS</t>
  </si>
  <si>
    <t>SUPPLY AND DELIVER OF A 24 PORTS SERVICE FOR THE PERIOD OF 36 MONTHS</t>
  </si>
  <si>
    <t>ETHEMBA COMPUTERS</t>
  </si>
  <si>
    <t>MAAA0002005</t>
  </si>
  <si>
    <t>SCM/261/16-17_MTN IWS (PTY) LTD</t>
  </si>
  <si>
    <t>SUPPLY AND INSTALL BULK SMS'S FOR THE PERIOD OF 24 MONTHS</t>
  </si>
  <si>
    <t>MTN MOBILE TELEPHONE NETWORKS (PTY) LTD</t>
  </si>
  <si>
    <t xml:space="preserve">&gt;THE START DATE OF THIS CONTRACT IS TAKEN FROM THE APPOINTMENT LETTER AND THE DURATION OF THIS CONTRACT IS 24 MONTHS.    &gt;THE APPOINTMENT LETTER IS SIGNED BY BOTH PARTIES.     </t>
  </si>
  <si>
    <t>MAAA0076067</t>
  </si>
  <si>
    <t>NQU0018/94/2012_RAFIQ KHAN AND COMPANY</t>
  </si>
  <si>
    <t>REGISTRATION ON THE PANEL OF ATTORNEYS</t>
  </si>
  <si>
    <t>NQU0018/301/2017_NGCAWENI SHABALALA INC</t>
  </si>
  <si>
    <t>APPOINTMENT OF A PANEL OF ATTORNEYS FOR THE PERIOD OF 36 MONTHS</t>
  </si>
  <si>
    <t>NGCAWENI SHABALALA INC.</t>
  </si>
  <si>
    <t>MAAA0362639</t>
  </si>
  <si>
    <t>NQU0018/301/2017_HAJRA PATEL INCORPORATED</t>
  </si>
  <si>
    <t>HAJRA PATEL INCORPORATED</t>
  </si>
  <si>
    <t>MAAA0162265</t>
  </si>
  <si>
    <t>NQU0018/2301/2017_BUTHELEZI MTSHALI MZULWINI ATTORNEYS</t>
  </si>
  <si>
    <t>BUTHELEZI MTSHALI ATTORNEYS</t>
  </si>
  <si>
    <t>MAAA0307918</t>
  </si>
  <si>
    <t>NQU0018/301/2017_ GARLICKE AND BOUSFIELD INC</t>
  </si>
  <si>
    <t>GARLICKE AND BOUSFIELD INC.</t>
  </si>
  <si>
    <t>MAAA0188843</t>
  </si>
  <si>
    <t>NQU0018/301/2017_MCHUNU BP INC. ATTORNEYS</t>
  </si>
  <si>
    <t>MCHUNU BP INC. ATTORNEYS</t>
  </si>
  <si>
    <t>NQU0056/319/2017-GILLOCK MOTORS (PTY) LTD</t>
  </si>
  <si>
    <t>SUPPLY AND DELIVERY OF MAYOR'S VEHICLE</t>
  </si>
  <si>
    <t>GILLOCK MOTORS (PTY) LTD</t>
  </si>
  <si>
    <t>MAAA0266163</t>
  </si>
  <si>
    <t>&gt;THIS CONTRACT IS A ONCE OFF AND IT EXPIRES AS SOON AS THE DELIVERY HAS BEEN MADE.</t>
  </si>
  <si>
    <t>NQU0020/321/2017-GILLOCK MOTORS (PTY) LTD</t>
  </si>
  <si>
    <t>SUPPLY AND DELIVERY OF DEPUTY MAYOR'S VEHICLE</t>
  </si>
  <si>
    <t>NQU0040/308/2017-BIDVEST STEINER</t>
  </si>
  <si>
    <t xml:space="preserve">SUPPLY, DELIVER AND MAINTENANCE OF SANITARY BINS FOR A PERIOD OF 12 MONTHS </t>
  </si>
  <si>
    <t xml:space="preserve">&gt;THE START DATE OF THIS CONTRACT IS TAKEN FROM THE APPOINTMENT LETTER AND THE DURATION OF THIS CONTRACT IS 12 MONTHS.    &gt;THE MAINTENANCE OF THESE SANITARY BINS SHOULD TAKE TAKE PLACE AFTER 14 DAYS EVERY MONTH.         </t>
  </si>
  <si>
    <t>NQU0030/303/2017-BERACAH ECONOMIC CONSULTING</t>
  </si>
  <si>
    <t>FEASIBILITY STUDY FOR NQUTHU LOCAL MUNICIPAL ARTS AND CULTURE AND TOURISM CENTRE</t>
  </si>
  <si>
    <t>BERACAH ECONOMIC CONSULTING</t>
  </si>
  <si>
    <t>MAAA0164343</t>
  </si>
  <si>
    <t>&gt;THE CONTRACT CONTAINS A LETTER OF APPOINTMENT AND ACCEPTANCE, SIGNED BY BOTH PARTIES.
&gt; THE START DATE OF THE CONTRACT HAS BEEN TAKEN FROM THE LETTER OF APPOINTMENT.
&gt; THIS CONTRACT WAS TERMINATED ON 02/08/2019.</t>
  </si>
  <si>
    <t>NQU0100/330/2017-ZIMEDU TRADING ENTERPRISE</t>
  </si>
  <si>
    <t>SUPPLY AND INSTALL ASPHALT BASE AND SURFACING IN MANGOSUTHU ROAD (WARD 14)</t>
  </si>
  <si>
    <t>ZIMEDU TRADING ENTERPRISE</t>
  </si>
  <si>
    <t>NQU0100/326/2017-AMAGWABA CONSTRUCTION</t>
  </si>
  <si>
    <t>SUPPLY AND INSTALL ROOF IN THE NQUTHU STORES</t>
  </si>
  <si>
    <t>AMAGWABA CONSTRUCTION</t>
  </si>
  <si>
    <t>MAAA0038786</t>
  </si>
  <si>
    <t>NQU5050/333/2017-HAMSA CONSULTING ENGINEERS</t>
  </si>
  <si>
    <t>SUPERVISION AND PROJECT MANAGEMENT FOR THE KWAYISE COMMUNITY HALL IN WARD 02</t>
  </si>
  <si>
    <t>&gt;THE CONTRACT CONTAINS A LETTER OF APPOINTMENT AND ACCEPTANCE, SIGNED BY BOTH PARTIES.
&gt; THE START DATE OF THE CONTRACT HAS BEEN TAKEN FROM THE LETTER OF APPOINTMENT.
&gt; THEY HAVE NOT YET STARTED ON THE PROJECT SINCE THE DAY OF THE APPOINTMENT THAT IS WHY THERE IS NO EXPENDITURE</t>
  </si>
  <si>
    <t>NQU5000/332/2017-ANVISDA PLANT CIVILS</t>
  </si>
  <si>
    <t>CONSTRUCTION OF NQUTHU SOUTHERN ROAD NETWORK PHASE 1</t>
  </si>
  <si>
    <t>ANVISDA PLANT CIVILS</t>
  </si>
  <si>
    <t>MAAA0096627</t>
  </si>
  <si>
    <t>NQU0100/326/2017-XRHTHM TRADING AND PROJECTS (PTY) LTD</t>
  </si>
  <si>
    <t>SUPPLY AND INSTALL ROAD MARKING CONTROL SIGNS FOR NQUTHU TOWN</t>
  </si>
  <si>
    <t>XRHTHM TRADING AND PROJECTS (PTY) LTD</t>
  </si>
  <si>
    <t>MAAA0136614</t>
  </si>
  <si>
    <t>NQU5000/336/2017-EKENE INVESTMENTS CC</t>
  </si>
  <si>
    <t>CONSTRUCTION OF UBEMBA ACCESS ROAD PHASE 2</t>
  </si>
  <si>
    <t>EKENE INVESTMENTS CC</t>
  </si>
  <si>
    <t>MAAA0012316</t>
  </si>
  <si>
    <t>NQU5000/335/2017-HAMBAGASHLE CONSTRUCTION</t>
  </si>
  <si>
    <t>CONSTRUCTION OF SAVUYE GRAVEL ROAD PHASE 2</t>
  </si>
  <si>
    <t>HAMBAGASHLE CONSTRUCTION</t>
  </si>
  <si>
    <t>MAAA0102058</t>
  </si>
  <si>
    <t>NQU5000/334/2017-MPANDLA TRADING</t>
  </si>
  <si>
    <t>THE INSTALLATION OF WELCOME TO NQUTHU TOWN SIGNS IN WARD 14</t>
  </si>
  <si>
    <t>NQU5050/331/2017 - MELA OKUHLE TRADING ENTERPRISE</t>
  </si>
  <si>
    <t>CONSTRUCTION OF MAFIHLENG COMMUNITY HALL</t>
  </si>
  <si>
    <t>MELA OKUHLE TRADING AND PROJECTS</t>
  </si>
  <si>
    <t>NQU5050/337/2017 - AH-TAK-THI-KI TRADING 539 CC</t>
  </si>
  <si>
    <t>CONSTRUCTION OF EZIQHAZENI COMMUNITY HALL</t>
  </si>
  <si>
    <t>AH -TAK- THI- KI TRADING AND PROJECTS</t>
  </si>
  <si>
    <t>MAAA0214792</t>
  </si>
  <si>
    <t>&gt;THE CONTRACT CONTAINS A LETTER OF APPOINTMENT AND ACCEPTANCE, SIGNED BY BOTH PARTIES.
&gt; THE START DATE OF THE CONTRACT HAS BEEN TAKEN FROM THE LETTER OF APPOINTMENT.
&gt; THIS CONTRACT WAS TERMINATED ON 12/07/2019 DUE TO SERVICE PROVIDER FAILING TO COMPLETE THE PROJECT ON TIME AND EVEN AFTER SEVERAL ENGAGEMENTS WITH THEM TRYING TO FAST TRACK THE PROJECT.</t>
  </si>
  <si>
    <t>NQU5000/342/2018 - VANGISA PROJECTS</t>
  </si>
  <si>
    <t>DESIGN AND PROJECT MANAGEMENT OF TRAFFIC OFFICES</t>
  </si>
  <si>
    <t>VANGISA AND PROJECTS</t>
  </si>
  <si>
    <t>MAAA0332091</t>
  </si>
  <si>
    <t>DESIGN</t>
  </si>
  <si>
    <t>NQU5070/304/2017_PALISADE CONCRETE PRODUCTS</t>
  </si>
  <si>
    <t>PALISADE CONCRETE PRODUCTS</t>
  </si>
  <si>
    <t>MAAA0464440</t>
  </si>
  <si>
    <t>NQU346/2018_ALTACON PROJECTS (PTY) LTD</t>
  </si>
  <si>
    <t>CONSTRUCTION OF SPRINGLAKE SPORTSFIELD</t>
  </si>
  <si>
    <t>N0</t>
  </si>
  <si>
    <t xml:space="preserve">NQU5050/370/2018-2019_ MANCINZA CIVIL CONTRACTORS </t>
  </si>
  <si>
    <t>RENOVATION OF V.A MAKHOBA HALL</t>
  </si>
  <si>
    <t>MANCINZA CIVIL CONTRACTORS</t>
  </si>
  <si>
    <t>RENOVATION OF NQUTHU STORES</t>
  </si>
  <si>
    <t>ZMB PLANT HIRE (PTY) LTD</t>
  </si>
  <si>
    <t>NQU348/2018_MAJIKI CONSTRUCTION</t>
  </si>
  <si>
    <t>CONSTRUCTION OF MPUMELELWENI CRECHE</t>
  </si>
  <si>
    <t>DLV</t>
  </si>
  <si>
    <t>EZINKONDLWANENI STORMWATER</t>
  </si>
  <si>
    <t>KHANS CONCRETE PRODUCTS(Mdu)</t>
  </si>
  <si>
    <t>ISANDLWANA RURAL HOUSING PROJECT</t>
  </si>
  <si>
    <t>KAMAWEWE</t>
  </si>
  <si>
    <t>MAGUBANE PLANT JV UTHINGO - NQU5000/281/2015</t>
  </si>
  <si>
    <t xml:space="preserve">CONSTRUCTION OF NTABENEBOMVU ACCESS ROAD </t>
  </si>
  <si>
    <t>MAGUBANE PLANT JV UTHINGO LWENKOSAZANA</t>
  </si>
  <si>
    <t>MAAA0033345</t>
  </si>
  <si>
    <t>&gt; CONTRACT CONTAINS STANDARD CODITIONS OF TENDER IDENTIFIED BY SANS 294:2004 - PG 5 OF BID DOCUMENT
&gt; THE VALUE OF THE CONTRACT HAS BEEN TAKEN FROM THE FIRST PAGE OF A BID DOCUMENT
&gt; CONTRACT CONTAINS A LETTER OF GOOD STANDING EXPIRING 2016/04/30
&gt; CONTRACT DOES STATE THE DURATION OF THE CONTRACT 
&gt;THE COMMENCEMENT DATE HAS BEEN TAKEN FROM THE LETTER APPOINTMENT 
&gt; THE CONTRACT DOES NOT HAVE PAYEMENTS MADE AGINST IT YET.</t>
  </si>
  <si>
    <t>FORMALISATION OF NONDWENI TOWNSHIP</t>
  </si>
  <si>
    <t>UDIDI CONSULTANTS</t>
  </si>
  <si>
    <t>NQU0030/180/2014</t>
  </si>
  <si>
    <t>SHEEP AND WOOL</t>
  </si>
  <si>
    <t>INGQONDO</t>
  </si>
  <si>
    <t>appointment letter does not  have amount</t>
  </si>
  <si>
    <t>MORTIMER TOYOTA DUNDEE</t>
  </si>
  <si>
    <t>SUPPLY AND DELIVERY OF TWO BRAND NEW VEHICLES FOR NQUTHU MUNICIPALITY</t>
  </si>
  <si>
    <t>THOKOMELA</t>
  </si>
  <si>
    <t>NQUTHU INFILLS</t>
  </si>
  <si>
    <t>MAAA0354629</t>
  </si>
  <si>
    <t>MAAA0408057</t>
  </si>
  <si>
    <t>MAAA0677752</t>
  </si>
  <si>
    <t>MAAA1018396</t>
  </si>
  <si>
    <t>MAAA0453672</t>
  </si>
  <si>
    <t>MAAA0338271</t>
  </si>
  <si>
    <t>LONDOLOZA SOLUTIONS</t>
  </si>
  <si>
    <t>MAAA0779578</t>
  </si>
  <si>
    <t>MAAA0177010</t>
  </si>
  <si>
    <t>MAAA03783440</t>
  </si>
  <si>
    <t>MAAA0788931</t>
  </si>
  <si>
    <t>MAAA0000492</t>
  </si>
  <si>
    <t>n/a</t>
  </si>
  <si>
    <t>KWAMAZWANE (cession)</t>
  </si>
  <si>
    <t>MELOSIZWE (cesssion)</t>
  </si>
  <si>
    <t>ACTIVE</t>
  </si>
  <si>
    <t xml:space="preserve">2021-2022 </t>
  </si>
  <si>
    <t>EXECUTIVE AND COUNCIL</t>
  </si>
  <si>
    <t>THUMAMINA (cession)</t>
  </si>
  <si>
    <t>4% discount of 14% of project value</t>
  </si>
  <si>
    <t>VANGISA (turnkey )</t>
  </si>
  <si>
    <t>&gt;THE CONTRACT CONTAINS A LETTER OF APPOINTMENT AND ACCEPTANCE, SIGNED BY BOTH PARTIES.
&gt; THE START DATE OF THE CONTRACT HAS BEEN TAKEN FROM THE LETTER OF APPOINTMENT.      
&gt;VANGISA TOOK OVER THE PROJECT FROM SHIKANI AS TURNKEY</t>
  </si>
  <si>
    <t xml:space="preserve">&gt;THE CONTRACT CONTAINS A LETTER OF APPOINTMENT AND ACCEPTANCE, SIGNED BY BOTH PARTIES.
&gt; THE START DATE OF THE CONTRACT HAS BEEN TAKEN FROM THE LETTER OF APPOINTMENT.    
&gt;VANGISA TOOK OVER THE PROJECT FROM VITHSA AS TURNKEY  </t>
  </si>
  <si>
    <t xml:space="preserve">&gt;THE CONTRACT CONTAINS A LETTER OF APPOINTMENT AND ACCEPTANCE, SIGNED BY BOTH PARTIES.
&gt; THE START DATE OF THE CONTRACT HAS BEEN TAKEN FROM THE LETTER OF APPOINTMENT.   </t>
  </si>
  <si>
    <t>&gt;THE CONTRACT CONTAINS A LETTER OF APPOINTMENT AND ACCEPTANCE, SIGNED BY BOTH PARTIES.
&gt; THE START DATE OF THE CONTRACT HAS BEEN TAKEN FROM THE LETTER OF APPOINTMENT.
&gt; THE CONTRACT WAS TERMINATED BECAUSE OF THE SLOW PROGRESS FROM AMAMBO PROJECTS, THEREFORE ON 01/02/21 MAJIKI WAS APPOINTED TO COMPLETE THE PROJECT AT THE AMOUNT OF R2 247 000.47
&gt;THE CONTRACT CONTAINS A LETTER OF APPOINTMENT AND ACCEPTANCE, SIGNED BY BOTH PARTIES.
&gt; THE START DATE OF THE CONTRACT HAS BEEN TAKEN FROM THE LETTER OF APPOINTMENT.
&gt; THE CONTRACT WAS TERMINATED BECAUSE OF THE SLOW PROGRESS FROM AMAMBO PROJECTS, THEREFORE ON 01/02/21 MAJIKI WAS APPOINTED TO COMPLETE THE PROJECT AT THE AMOUNT OF R2 247 000.47</t>
  </si>
  <si>
    <t>&gt;THE CONTRACT CONTAINS A LETTER OF APPOINTMENT AND ACCEPTANCE, SIGNED BY BOTH PARTIES.
&gt; THE START DATE OF THE CONTRACT HAS BEEN TAKEN FROM THE LETTER OF APPOINTMENT.
&gt;MELAOKUHLE TPPK OVER FROM NJENGAMANJE SINCE NJENGAMANJE COULD NOT FINISH ON TIME</t>
  </si>
  <si>
    <t xml:space="preserve">2020 
CONTRACT BALANCE
</t>
  </si>
  <si>
    <t>APPOINTMENT VALUE</t>
  </si>
  <si>
    <t>TOTAL EXPENDITURE AS AT  30 June 2020</t>
  </si>
  <si>
    <t>2020 EXPENDITURE</t>
  </si>
  <si>
    <t>EXPENDITURE AS AT  
1 JULY 2019</t>
  </si>
  <si>
    <t>EXPENDITURE AS AT  
1 JULY 2020</t>
  </si>
  <si>
    <t>2021 EXPENDITURE</t>
  </si>
  <si>
    <t>TOTAL EXPENDITURE AS AT  30 June 2021</t>
  </si>
  <si>
    <t xml:space="preserve">2021
CONTRACT BALANCE
</t>
  </si>
  <si>
    <t>EXPENDITURE AS AT  
1 JULY 2021</t>
  </si>
  <si>
    <t>2022 EXPENDITURE</t>
  </si>
  <si>
    <t>TOTAL EXPENDITURE AS AT  30 June 2022</t>
  </si>
  <si>
    <t xml:space="preserve">2022
CONTRACT BALANCE
</t>
  </si>
  <si>
    <t>CONSTRUCTION OF EZINKONDLWANENI HALL</t>
  </si>
  <si>
    <t>2022-2023</t>
  </si>
  <si>
    <r>
      <t>&gt;THE CONTRACT CONTAINS A LETTER OF APPOINTMENT AND ACCEPTANCE, SIGNED BY BOTH PARTIES.
&gt; THE START DATE OF THE CONTRACT HAS BEEN TAKEN FROM THE LETTER OF APPOINTMENT.
&gt;</t>
    </r>
    <r>
      <rPr>
        <sz val="9"/>
        <color rgb="FFFF0000"/>
        <rFont val="Calibri"/>
        <family val="2"/>
        <scheme val="minor"/>
      </rPr>
      <t>ON 4 JAN 2022, SCOPE WAS EXTENDED AND ALLOCATED A  GRANT WORTH R2 000 000</t>
    </r>
  </si>
  <si>
    <t>EXPENDITURE AS AT  
1 JULY 2022</t>
  </si>
  <si>
    <t>2023 EXPENDITURE</t>
  </si>
  <si>
    <t>TOTAL EXPENDITURE AS AT  30 June 2023</t>
  </si>
  <si>
    <t xml:space="preserve">2023
CONTRACT BALANCE
</t>
  </si>
  <si>
    <t>MATHAWULA TRADING</t>
  </si>
  <si>
    <t>MAXODE TRADING AND PROJECTS</t>
  </si>
  <si>
    <t>PLAN B LIFESTYLE</t>
  </si>
  <si>
    <t>SMODENI TRADING</t>
  </si>
  <si>
    <t>YAYOH TRADING</t>
  </si>
  <si>
    <t>BARGAIN UNIFORMS</t>
  </si>
  <si>
    <t>FANA MANUFACTURING</t>
  </si>
  <si>
    <t>FITI TRADING</t>
  </si>
  <si>
    <t>ROBERT BUTHANANI PROJECT</t>
  </si>
  <si>
    <t>NQULM24/2021-2022</t>
  </si>
  <si>
    <t>NQULM26/2021-2022</t>
  </si>
  <si>
    <t>SUPPLY, DELIVER AND INSTALL WATER TANKS WITH PUMPS FOR MUNICIPAL PIPES</t>
  </si>
  <si>
    <t>PANEL FOR SUPPLY AND DELIVERY OF SPORT ATTIRE AND SPORT EQUIPMENT FOR NQUTHU MUNICIPALITY</t>
  </si>
  <si>
    <t>PROVISION OF GENERAL VALUATION ROLL FOR THE PERIOD OF 5 YEARS</t>
  </si>
  <si>
    <t>BPG MASS APPRAISALS (PTY) LTD</t>
  </si>
  <si>
    <t>NQULM27/2021-2022</t>
  </si>
  <si>
    <t>NQULM/23/21-22</t>
  </si>
  <si>
    <t>PANEL OF SERVICE PROVIDERS FOR STRUCTURAL ELECTRICAL AND CIVIL ENGINEERING CONSULTANTS FOR A PERIOD OF 36 MONTHS</t>
  </si>
  <si>
    <t xml:space="preserve">THOKOMELA </t>
  </si>
  <si>
    <t>MAGEBA CONSULTING</t>
  </si>
  <si>
    <t>SIMPHULWAZI ENGINEERS</t>
  </si>
  <si>
    <t xml:space="preserve">MINATHI CONSULTING </t>
  </si>
  <si>
    <t>BTMN ENGINEERS</t>
  </si>
  <si>
    <t>IGATSHA CONSULTING</t>
  </si>
  <si>
    <t xml:space="preserve">DLV PROJECTS </t>
  </si>
  <si>
    <t>DLAMININDLOVU CONSULTING</t>
  </si>
  <si>
    <t>VANGISA</t>
  </si>
  <si>
    <t>BM PROJECTS</t>
  </si>
  <si>
    <t xml:space="preserve">BI INFRASTRUCTURE </t>
  </si>
  <si>
    <t>IMPUMELELO CONSULTING</t>
  </si>
  <si>
    <t>MAAA0005859</t>
  </si>
  <si>
    <t>MAAA0290416</t>
  </si>
  <si>
    <t>MAAA0274375</t>
  </si>
  <si>
    <t>MAAA0763876</t>
  </si>
  <si>
    <t>MAAA0062458</t>
  </si>
  <si>
    <t>MAAA0089887</t>
  </si>
  <si>
    <t>MAAA0402029</t>
  </si>
  <si>
    <t>MAAA0616055</t>
  </si>
  <si>
    <t>MAAA0186047</t>
  </si>
  <si>
    <t>MAAA0089827</t>
  </si>
  <si>
    <t>MAAA0272970</t>
  </si>
  <si>
    <t>MAAA0360947</t>
  </si>
  <si>
    <t>MAAA0898273</t>
  </si>
  <si>
    <t>MAAA0174535</t>
  </si>
  <si>
    <t>PANEL OF SERVICE PROVIDERS, EVENT ORGANIZERS FOR A PERIOD OF 36 MONTHS</t>
  </si>
  <si>
    <t>2025/0717</t>
  </si>
  <si>
    <t>2025/0718</t>
  </si>
  <si>
    <t>2025/0719</t>
  </si>
  <si>
    <t>2025/0720</t>
  </si>
  <si>
    <t>2025/0721</t>
  </si>
  <si>
    <t>2025/0722</t>
  </si>
  <si>
    <t>2025/0723</t>
  </si>
  <si>
    <t>2025/0724</t>
  </si>
  <si>
    <t>2025/0725</t>
  </si>
  <si>
    <t>MAAA0452095</t>
  </si>
  <si>
    <t>MAAA0203523</t>
  </si>
  <si>
    <t>MAAA0055437</t>
  </si>
  <si>
    <t>MAAA1156330</t>
  </si>
  <si>
    <t>SEBATA MUNICIPAL SOLUTIONS / INZALO</t>
  </si>
  <si>
    <t xml:space="preserve"> </t>
  </si>
  <si>
    <t xml:space="preserve">MELAOKUHLE </t>
  </si>
  <si>
    <t>NQULM02/2022-2023</t>
  </si>
  <si>
    <t>NQULM05/2022-2023</t>
  </si>
  <si>
    <t>PROVISION FOR INTERNAL AUDIT FOR THE PERIOD OF 36 MONTHS</t>
  </si>
  <si>
    <t>PROVISION FOR ONLINE VENDING</t>
  </si>
  <si>
    <t>NKALANKALA ACCESS GRAVEL ROAD IN WARD 10</t>
  </si>
  <si>
    <t>NQULM07/2022</t>
  </si>
  <si>
    <t>LONDOLOZA</t>
  </si>
  <si>
    <t>NQULM13/2020-2021</t>
  </si>
  <si>
    <t xml:space="preserve">PROVISION FOR SANITARY BINS </t>
  </si>
  <si>
    <t>PHILANI ROAD</t>
  </si>
  <si>
    <t>NQULM23/2021-2022</t>
  </si>
  <si>
    <t>MGEDWANA (sub-contractor)</t>
  </si>
  <si>
    <t>ZMS (sub-contractor)</t>
  </si>
  <si>
    <t>ROOFING AND  GENERAL (cession)</t>
  </si>
  <si>
    <t>AH TAK THI KI</t>
  </si>
  <si>
    <t>3 196 581.02</t>
  </si>
  <si>
    <t>AFI CONSULT</t>
  </si>
  <si>
    <t>VUMANKALA / EMADWALENI ELECTRIFICATION</t>
  </si>
  <si>
    <t>THOKOMELA TRADING (PTY) LTD</t>
  </si>
  <si>
    <t>NQUTHU ELECTRIFICATION</t>
  </si>
  <si>
    <t>NTANYANDLOVU CRECHE</t>
  </si>
  <si>
    <t>ELIHLIKHAYA CRECHE</t>
  </si>
  <si>
    <t>ZWELISHA CRECHE</t>
  </si>
  <si>
    <t>NQUTHU TAXI RANK</t>
  </si>
  <si>
    <t>&gt;THE CONTRACT CONTAINS A LETTER OF APPOINTMENT AND ACCEPTANCE, SIGNED BY BOTH PARTIES.
&gt; THE START DATE OF THE CONTRACT HAS BEEN TAKEN FROM THE LETTER OF APPOINTMENT. THIS CONTRACT WAS EXTENDED ON A MONTH TO MONTH BASIS</t>
  </si>
  <si>
    <t>MONTH TO MONTH</t>
  </si>
  <si>
    <t xml:space="preserve">&gt;THE CONTRACT CONTAINS A LETTER OF APPOINTMENT AND ACCEPTANCE, SIGNED BY BOTH PARTIES. THIS CONTRACT WAS EXTENDED ON A MONTH TO MONTH BASIS.
&gt; THE START DATE OF THE CONTRACT HAS BEEN TAKEN FROM THE LETTER OF APPOINTMENT.      </t>
  </si>
  <si>
    <t>NQULM11/2022-2023</t>
  </si>
  <si>
    <t>NQULM11/2022-2024</t>
  </si>
  <si>
    <t>NQULM23/2021-2023</t>
  </si>
  <si>
    <t>NQULM23/2021-2024</t>
  </si>
  <si>
    <t>MAAA0247952</t>
  </si>
  <si>
    <t>MAAA1574362</t>
  </si>
  <si>
    <t>NQULM01/2022-2023</t>
  </si>
  <si>
    <t>MAAA1475638</t>
  </si>
  <si>
    <t>NQULM13/2022-2023</t>
  </si>
  <si>
    <t>PROVISION OF TRACKING DEVICES FOR THE PERIOD OF 36 MONTHS</t>
  </si>
  <si>
    <t>CTRACK MZANSI</t>
  </si>
  <si>
    <t>NQULM09/2022-2023</t>
  </si>
  <si>
    <t>AMAHLE TECHNOLOGIES</t>
  </si>
  <si>
    <t>AYANDA MBANGA COMMUNICATION (PTY) LTD</t>
  </si>
  <si>
    <t>NDIZANATHI PROJECTS</t>
  </si>
  <si>
    <t>APPOINTMENT FOR A PANEL OF ADVERTISING AGENCIES FOR THE PERIOD OF 36 MONTHS</t>
  </si>
  <si>
    <t>PROVISION OF WEBSITE HOSTING FOR THE PERIOD OF 36 MONTHS</t>
  </si>
  <si>
    <t>UMKHAMBA PROJECTS</t>
  </si>
  <si>
    <t>NQULM10/2022-2023</t>
  </si>
  <si>
    <t>MAAA0360431</t>
  </si>
  <si>
    <t>MAAA0257575</t>
  </si>
  <si>
    <t>MAAA0483266</t>
  </si>
  <si>
    <t>MAAA0118462</t>
  </si>
  <si>
    <t>MAAA0812714</t>
  </si>
  <si>
    <t>MAAA0101954</t>
  </si>
  <si>
    <t>MAAA122478</t>
  </si>
  <si>
    <t>MAAA0166700</t>
  </si>
  <si>
    <t>MAAA1551478</t>
  </si>
  <si>
    <t>BMK GROUP</t>
  </si>
  <si>
    <t>BUMBANO GROUP (PTY) LTD</t>
  </si>
  <si>
    <t>MZANSI AFRICA CIVILS</t>
  </si>
  <si>
    <t>AFRILECTRICAL CONSULTING ENGINEERS</t>
  </si>
  <si>
    <t>REFLECTIVE THINKING TRADING</t>
  </si>
  <si>
    <t>MVULO CONSULTING ENGINEERS</t>
  </si>
  <si>
    <t>ABAZINGELI CIVILS</t>
  </si>
  <si>
    <t>2CM CONSULTING ENGINEERS (PTY) LTD</t>
  </si>
  <si>
    <t>PEMAHN CONSULTING (PTY) LTD</t>
  </si>
  <si>
    <t>ISANDO STRUCTURAL ENGINNERING AND CIVILS</t>
  </si>
  <si>
    <t>MASAKHEKULUNGE PROJECT MANAGERS</t>
  </si>
  <si>
    <t>ZIINZAME CONSULTING ENGINEERS</t>
  </si>
  <si>
    <t>MUTEO CONSULTING CC</t>
  </si>
  <si>
    <t>BVI CONSULTING ENGINEERS</t>
  </si>
  <si>
    <t>JTN CONSULTING (PTY) LTD</t>
  </si>
  <si>
    <t>MZOLO CONSULTING ENGINEERS</t>
  </si>
  <si>
    <t>LIBEKO (PTY) LTD</t>
  </si>
  <si>
    <t>INFRA CHAMPS CONSULTING</t>
  </si>
  <si>
    <t>GREFS HOLDINGS (PTY) LTD</t>
  </si>
  <si>
    <t>SAMTAK CONSULTING</t>
  </si>
  <si>
    <t>PANEL OF STRUCTURAL ELECTRICAL, CIVIL ENGINEERING, LANDSCAPPING AND GRAPHIC DESIGN FOR THE PERIOD OF 36 MONTHS</t>
  </si>
  <si>
    <t>MAAA0382129</t>
  </si>
  <si>
    <t>MAAA0351042</t>
  </si>
  <si>
    <t>MAAA0179887</t>
  </si>
  <si>
    <t>MAAA0957297</t>
  </si>
  <si>
    <t>MAAA0338942</t>
  </si>
  <si>
    <t>MAAA0387698</t>
  </si>
  <si>
    <t>MAAA0122491</t>
  </si>
  <si>
    <t>MAAA0018939</t>
  </si>
  <si>
    <t>MAAA0019078</t>
  </si>
  <si>
    <t>MAAA0221052</t>
  </si>
  <si>
    <t>KAMAWEWE DEVELOPMENT CONSULTANTS</t>
  </si>
  <si>
    <t>MAAA0256183</t>
  </si>
  <si>
    <t>MAAA0539258</t>
  </si>
  <si>
    <t>MAAA0196330</t>
  </si>
  <si>
    <t>MAAA0449560</t>
  </si>
  <si>
    <t>MAAA0861677</t>
  </si>
  <si>
    <t>MAAA0280638</t>
  </si>
  <si>
    <t>MAAA0126493</t>
  </si>
  <si>
    <t>MAAA0090962</t>
  </si>
  <si>
    <t>MAAA0304833</t>
  </si>
  <si>
    <t>RATES BASED</t>
  </si>
  <si>
    <t>NOMKHOSI ROAD</t>
  </si>
  <si>
    <t>NQULM14/2022-2023</t>
  </si>
  <si>
    <t>CONSTRUCTION OF MBEWUNYE COMMUNITY HALL</t>
  </si>
  <si>
    <t>CONSTRUCTION OF NTANYANDLOVU COMMUNITY HALL</t>
  </si>
  <si>
    <t>GASELA PLANT HIRE</t>
  </si>
  <si>
    <t>CONSTRUCTION OF NHLOPHENI HALL</t>
  </si>
  <si>
    <t>CONSTRUCTION OF KLWANA COMMUNITY HALL</t>
  </si>
  <si>
    <t>CONSTRUCTION OF MAGONGOLOZA COMMUNITY HALL</t>
  </si>
  <si>
    <t>CONSTRUCTION OF INKOSI ELPHIAS MOLEFE COMMUNITY HALL</t>
  </si>
  <si>
    <t>CONSTRUCTION OF MPHONDI COMMUNITY HALL</t>
  </si>
  <si>
    <t>NEAK (PTY) LTD</t>
  </si>
  <si>
    <t>CONSTRUCTION OF NYAKAZA COMMUNITY HALL</t>
  </si>
  <si>
    <t>CONSTRUCTION OF NDATSHANA COMMUNITY HALL</t>
  </si>
  <si>
    <t>MZOLO CONSULTING</t>
  </si>
  <si>
    <t>CONSTRUCTION OF BHEKUKHANYA CRECHE</t>
  </si>
  <si>
    <t>CONSTRUCTION OF NCOME COMMUNITY HALL</t>
  </si>
  <si>
    <t>CONSTRUCTION OF NHLABAMKHOSI COMMUNITY HALL</t>
  </si>
  <si>
    <t>AMATAWUTAWU GENERAL TRADING</t>
  </si>
  <si>
    <t>MAAA0564067</t>
  </si>
  <si>
    <t>MAAA0327852</t>
  </si>
  <si>
    <t>MAAA0322265</t>
  </si>
  <si>
    <t>MAAA0071295</t>
  </si>
  <si>
    <t>MAAA0132042</t>
  </si>
  <si>
    <t>MAAA0106117</t>
  </si>
  <si>
    <t>MAAA0180536</t>
  </si>
  <si>
    <t>EXPENDITURE AS AT  
1 JULY 2023</t>
  </si>
  <si>
    <t>2024 EXPENDITURE</t>
  </si>
  <si>
    <t>TOTAL EXPENDITURE AS AT  30 June 2024</t>
  </si>
  <si>
    <t xml:space="preserve">2024
CONTRACT BALANCE
</t>
  </si>
  <si>
    <t>2023-2024</t>
  </si>
  <si>
    <t>NQULM16/2022-2023</t>
  </si>
  <si>
    <t>SUPPLY AND INSTALLATION OF LIGHTNING CONDUCTORS FOR A PERIOD OF 36 MONTHS</t>
  </si>
  <si>
    <t xml:space="preserve">SIYAKHONA HOLDINGS (PTY) LTD </t>
  </si>
  <si>
    <t>ISIQALOH PROJECTS</t>
  </si>
  <si>
    <t>LASE TRADING AND PROJECTS (PTY) LTD</t>
  </si>
  <si>
    <t>LUYANDALONDWE PROJECTS (PTY) LTD</t>
  </si>
  <si>
    <t>THE CURVE BEHIND TRADING 289 CC</t>
  </si>
  <si>
    <t>VUKAYIBAMBE DEVELOPMENT</t>
  </si>
  <si>
    <t>SOARING CONSTRUCTION ENGINEERS (PTY) LTD</t>
  </si>
  <si>
    <t>KAMAWEWE DEVELOPMENT CONSULTANTS (PTY)LTD</t>
  </si>
  <si>
    <t>NBB NGEMA CONSTRUCTION AND SERVICES</t>
  </si>
  <si>
    <t>MAGUBANE PLANT AND CONTRACTORS CC</t>
  </si>
  <si>
    <t>PR VHUTULI PROJECTS MANAGEMENT (PTY) LTD</t>
  </si>
  <si>
    <t>VELIMBUSO CONSTRUCTION</t>
  </si>
  <si>
    <t>IQHAWE ELIHLE TRADING</t>
  </si>
  <si>
    <t>AMAHLUNGU CIVILS (PTY) LTD</t>
  </si>
  <si>
    <t>KHALAFU (PTY) LTD</t>
  </si>
  <si>
    <t>JAMBO HOLDINGS</t>
  </si>
  <si>
    <t>ZABEST PROPERTIES (PTY) LTD</t>
  </si>
  <si>
    <t>MHLANTI TRADING PROJECTS</t>
  </si>
  <si>
    <t>ASIBONGE ENGINEERS (PTY) LTD</t>
  </si>
  <si>
    <t>SILULEME TRADING ENTERPRISE CC</t>
  </si>
  <si>
    <t>XB CONSTRUCTION CC</t>
  </si>
  <si>
    <t>NICKELODIA TRADING (PTY) LTD</t>
  </si>
  <si>
    <t>MKF TRADING &amp; PROJECTS</t>
  </si>
  <si>
    <t>MAKHELENI CONSTRUCTION CC</t>
  </si>
  <si>
    <t xml:space="preserve">YAYOH TRADING </t>
  </si>
  <si>
    <t>WEMNTO OMNYAMA TRADING</t>
  </si>
  <si>
    <t>SERVIGYN 12 CC</t>
  </si>
  <si>
    <t>ROSEMATHA CONSTRUCTION AND PROJECTS CC</t>
  </si>
  <si>
    <t>THASISELA TRADING ENTERPRISE</t>
  </si>
  <si>
    <t>LIJA HOLDINGS (PTY) LTD</t>
  </si>
  <si>
    <t>PREST BUSINESS SUPPLIERS CC</t>
  </si>
  <si>
    <t>NGCEBO CONSULTING (PTY) LTD</t>
  </si>
  <si>
    <t>LONDOLOZA SOLUTION (PTY) LTD</t>
  </si>
  <si>
    <t xml:space="preserve">NOZANA PROJECTS  </t>
  </si>
  <si>
    <t xml:space="preserve">MAJIKI CONSTRUCTION </t>
  </si>
  <si>
    <t xml:space="preserve">MSUSANDABA TRADING ENTERPRISE </t>
  </si>
  <si>
    <t xml:space="preserve">M2M PROJECTS CC </t>
  </si>
  <si>
    <t>KB AFRI PROJECTS (PTY) LTD</t>
  </si>
  <si>
    <t xml:space="preserve">ENDUNENI CONTRACTORS </t>
  </si>
  <si>
    <t>EMPILWENI TRADING (PTY) LTD</t>
  </si>
  <si>
    <t>NEAK ((PYT) LTD</t>
  </si>
  <si>
    <t>THANDOLWESIPHO TRADING</t>
  </si>
  <si>
    <t>NONTEMBISO PROJECTS</t>
  </si>
  <si>
    <t>YABANATHI PROJECTS</t>
  </si>
  <si>
    <t>SIHLAHLASIYA'HLUMA CONSTRUCTION (PTY) LTD</t>
  </si>
  <si>
    <t xml:space="preserve">CHRISYD CONSTRUCTION AND PROJECTS </t>
  </si>
  <si>
    <t xml:space="preserve">SANOQWABE CONSTRUCTION </t>
  </si>
  <si>
    <t>QUANTUM LEAP INVESTMENTS 88</t>
  </si>
  <si>
    <t xml:space="preserve">CASTLE EVERST INDUSTRIES (PTY) LTD </t>
  </si>
  <si>
    <t>ZALUSELE CONSTRUCTION</t>
  </si>
  <si>
    <t>XOLLY BUSINESS ENTERPRICE CC</t>
  </si>
  <si>
    <t>ISKHONYANE CIVILS (PTY) LTD</t>
  </si>
  <si>
    <t>KUHLE DEVELOPMENT (PTY) LTD</t>
  </si>
  <si>
    <t>LANGENI PLATINUM (PTY) LTD</t>
  </si>
  <si>
    <t>BUMBELIHLE HOLDINGS</t>
  </si>
  <si>
    <t>CIVILUX (PTY) LTD</t>
  </si>
  <si>
    <t>NGUDWA TRADING AND PROJECTS</t>
  </si>
  <si>
    <t>TRIPLE M INVESTMENTS</t>
  </si>
  <si>
    <t>LEMJO TRADING CC</t>
  </si>
  <si>
    <t>URBAN AND RURAL CONSTRUCTION (PTY) LTD</t>
  </si>
  <si>
    <t>GBTG (PTY) LTD</t>
  </si>
  <si>
    <t>VEZUKUNGCONO TRADING CC</t>
  </si>
  <si>
    <t>NOTHANDO PROJECTS (PTY) LTD</t>
  </si>
  <si>
    <t>MASUREBANE TRADING</t>
  </si>
  <si>
    <t>MELAOKUHLE TRADING CC</t>
  </si>
  <si>
    <t>SHIKANI TRADING CC</t>
  </si>
  <si>
    <t>JTB GROUP</t>
  </si>
  <si>
    <t>MENZIWA</t>
  </si>
  <si>
    <t>PHILADONDA PROJECTS</t>
  </si>
  <si>
    <t>NEBO SOLUTION (PTY) LTD</t>
  </si>
  <si>
    <t>SPURROW INSIKA ENGINEERS JV SOSK CIVILS AND BUILDING</t>
  </si>
  <si>
    <t>LAMAZWIDE PROJECTS (PTY) LTD</t>
  </si>
  <si>
    <t xml:space="preserve">GUBHUZA GENERAL TRADING </t>
  </si>
  <si>
    <t>MMELENI ST CIVIL AND BUILDING CONTRACTORS (PTY) LTD</t>
  </si>
  <si>
    <t>GREMONI CONTRACTORS</t>
  </si>
  <si>
    <t>MPHIRATI TRADING (PTY) LTD</t>
  </si>
  <si>
    <t>NTWENHLE BUSINESS VENTURE (PTY) LTD</t>
  </si>
  <si>
    <t>OFF LIMITS PROJECTS</t>
  </si>
  <si>
    <t>AMANDELU PROJECTS (PTY) LTD</t>
  </si>
  <si>
    <t>TSWQKELO (PTY) LTD</t>
  </si>
  <si>
    <t>HIA INTERNATIONAL SECURITY</t>
  </si>
  <si>
    <t>MADUDLA CONTRACTORS</t>
  </si>
  <si>
    <t>ROBERT BUTHANANI PROJECTS</t>
  </si>
  <si>
    <t>BAPHI INVESTMENT OO CC</t>
  </si>
  <si>
    <t xml:space="preserve">MJOSTAN TRADING AND PROJECTS </t>
  </si>
  <si>
    <t xml:space="preserve">   VUKAYIBAMBE DEVELOPMENT</t>
  </si>
  <si>
    <t xml:space="preserve">   ISOYI HOLDINGS</t>
  </si>
  <si>
    <t xml:space="preserve">   DALEKA CONSTRUCTION</t>
  </si>
  <si>
    <t>PANEL OF CONTRACTORS WITH THE GRADING DESIGNATION OF 2GB OR HIGHER TO ASSIST WITH THE IMPLEMENTATION OF GRANT FUNDEDPROJECTS FOR THE PERIOD OF THREE (3) YEARS</t>
  </si>
  <si>
    <t>SIYAKHONA HOLDINGS</t>
  </si>
  <si>
    <t>TURNKEY PROJECT – SMALL TOWN REHABILITATION PROGRAM PROJECT: INSTALLATION OF NQUTHU SOLAR STREET LIGHTS AND HIGH MASTS</t>
  </si>
  <si>
    <t>15/8/1/1/2</t>
  </si>
  <si>
    <t>&gt;THE CONTRACT CONTAINS A LETTER OF APPOINTMENT AND ACCEPTANCE, SIGNED BY BOTH PARTIES.
&gt; THE START DATE OF THE CONTRACT HAS BEEN TAKEN FROM THE LETTER OF APPOINTMENT.      
&gt; SECTION 116 EXTENSION WAS IMPLEMENTED ON THIS PROJECT</t>
  </si>
  <si>
    <t>47942.26</t>
  </si>
  <si>
    <t xml:space="preserve">CONSTRUCTION OF MALANGA ROAD </t>
  </si>
  <si>
    <t>845614.09</t>
  </si>
  <si>
    <t>757114.00</t>
  </si>
  <si>
    <t>2023 CONTRACT BALANCE</t>
  </si>
  <si>
    <t>ISIBANI SETHU ENTERPRISE</t>
  </si>
  <si>
    <t>BLACK CUBANS CONSULTING (PTY)LTD</t>
  </si>
  <si>
    <t>ISIBUKO  DEVELOPMENT PLANNER</t>
  </si>
  <si>
    <t>NKANOVO DEVELOPMENT CONSULTANT</t>
  </si>
  <si>
    <t>UMHLABA GEOMATIC INCORPORATED</t>
  </si>
  <si>
    <t>ACCRA GROUP</t>
  </si>
  <si>
    <t>EQUITY PLUS MARKET</t>
  </si>
  <si>
    <t>LIKHWEZILOKUHLE PTY LTD</t>
  </si>
  <si>
    <t>PANEL OF SERVICE PROVIDERS FOR PLANNING AND ECONOMIC DEVELOPMENT</t>
  </si>
  <si>
    <t>NQULM14/2023-2024</t>
  </si>
  <si>
    <t>ISKHONYANE CIVILS</t>
  </si>
  <si>
    <t>OPULENCE GROUP (PTY) LTD</t>
  </si>
  <si>
    <t>KTO DIGITAL (PTY) LTD</t>
  </si>
  <si>
    <t xml:space="preserve">UNJANI CLINIC NQUTHU </t>
  </si>
  <si>
    <t>PROVISION OF PAUPER BURIAL COFFINS FOR A PERIOD OF 36 MONTHS</t>
  </si>
  <si>
    <t>APPOINTMENT OF SERVICE PROVIDER FOR CLINICAL PSYCHOLOGY FOR A PERIOD OF 12 MONTHS</t>
  </si>
  <si>
    <t>APPOINTMENT OF SERVICE PROVIDER TO CONDUCT QUALIFICATION VERIFICATION FOR A PERIOD OF 12 MONTHS</t>
  </si>
  <si>
    <t>MEDICAL CONSULTATION AND TESTING ON MUNICIPAL OFFICIALS FOR A PERIOD OF 36 MONTHS</t>
  </si>
  <si>
    <t>NQULM28/2023-2024</t>
  </si>
  <si>
    <t>NQULM32/2023/2024</t>
  </si>
  <si>
    <t>NQULM22/2023-2024</t>
  </si>
  <si>
    <t xml:space="preserve">RATES BASED </t>
  </si>
  <si>
    <t>APPOINTMENT OF SERVICE PROVIDERS TO FORM A PANEL OF CONTRACTORS WITH THE GRADING DESIGNATION OF 2CE OR HIGHER TO ASSIST WITH THE IMPLEMENTATION OF GRANT FUNDED PROJECTS FOR THE PERIOD OF THREE YEARS.</t>
  </si>
  <si>
    <t>CONTRACTOR DEVELOPMENT FOR EMERGING CONTRACTORS FOR NQUTHU MUNICIPALITY</t>
  </si>
  <si>
    <t>RE-ADVERT PANEL OF  ATTORNEYS FOR THE PERIOD OF 36 MONTHS</t>
  </si>
  <si>
    <t>DALEKA TRADING ENTERPRISE</t>
  </si>
  <si>
    <t>AMAHLUNGU CIVILS</t>
  </si>
  <si>
    <t>NOZANA PROJECTS</t>
  </si>
  <si>
    <t>CECE CONSTRUCTION</t>
  </si>
  <si>
    <t>SNM TOOLS</t>
  </si>
  <si>
    <t>SOMKHANDA PLANT HIRE</t>
  </si>
  <si>
    <t>WEMNTOMNYAMA TRADING</t>
  </si>
  <si>
    <t xml:space="preserve">STHE AND NKANYISO </t>
  </si>
  <si>
    <t>NHLANGULELA CONSTRUCTION</t>
  </si>
  <si>
    <t>ENDLELENI HOLDINGS</t>
  </si>
  <si>
    <t>BOBOSHE TRADING ENTERPRISE</t>
  </si>
  <si>
    <t>NGWENKAZI BUSINESS ENTERPRISE</t>
  </si>
  <si>
    <t>PARROT GROUP 69</t>
  </si>
  <si>
    <t>SIM &amp; LUKHO PROPERTY DEVELOPMENT</t>
  </si>
  <si>
    <t>NONGAFA TRADING</t>
  </si>
  <si>
    <t xml:space="preserve">SABZIN'S CATERING </t>
  </si>
  <si>
    <t>LANGENI PLATINUM</t>
  </si>
  <si>
    <t>LUYASPHEWA (PTY) LTD</t>
  </si>
  <si>
    <t>BHIZAR TRADING</t>
  </si>
  <si>
    <t>JEB INFRASTRUCTURE</t>
  </si>
  <si>
    <t>LUYANDALONDWE</t>
  </si>
  <si>
    <t>YABANATHI MMELENI JV</t>
  </si>
  <si>
    <t>ELIHLE CIVILS (PTY) LTD</t>
  </si>
  <si>
    <t xml:space="preserve">TRIPLE TWO TRADING ENTERPRISE </t>
  </si>
  <si>
    <t>DLAMINDLOVU CONSULTING ENGINEERING</t>
  </si>
  <si>
    <t>LUSABA CIVILS AND PLANT HIRE</t>
  </si>
  <si>
    <t>BUKASIVE TRADING</t>
  </si>
  <si>
    <t>GUBHUZA GENERAL TRADING (PTY)LTD</t>
  </si>
  <si>
    <t>MJOSTAN TRADING AND PROJECTS</t>
  </si>
  <si>
    <t>HIA INTERNATIONAL SECURITY (PTY) LTD</t>
  </si>
  <si>
    <t xml:space="preserve">MANATTY TRADING </t>
  </si>
  <si>
    <t>MATHABIZO TRADING (PTY) LTD</t>
  </si>
  <si>
    <t>LASER TRADING AND PROJECTS</t>
  </si>
  <si>
    <t>L4Z SOLUTION (PTY) LTD</t>
  </si>
  <si>
    <t>NOXOLO AND MALI TRADING 14 CC</t>
  </si>
  <si>
    <t>GILBERT AND I PROJECTS</t>
  </si>
  <si>
    <t>DDD BUILDERS GROUP</t>
  </si>
  <si>
    <t>KAMAWEWE DEVELOPMENT CONSULTACTIONS PTY LTD</t>
  </si>
  <si>
    <t xml:space="preserve">VMT CIVILS </t>
  </si>
  <si>
    <t>SIHLAHLASIYAHLUMA CONSTRUCTION</t>
  </si>
  <si>
    <t>JINA CONSTRUCTION</t>
  </si>
  <si>
    <t>URBAN AND RURAL CONSTRUCTION</t>
  </si>
  <si>
    <t>KHANJISIWE TRADING CC</t>
  </si>
  <si>
    <t>MATHIYANE CONSTRUCTION CC</t>
  </si>
  <si>
    <t>SIDLEKHAYA TRADING ENTERPRISE CC</t>
  </si>
  <si>
    <t>SIYAMTHANDA SIMTHANDILE (PTY) LTD</t>
  </si>
  <si>
    <t>KWAMVELIHLE TRADING PTY LTD</t>
  </si>
  <si>
    <t>FAITH ECO PROJECTS</t>
  </si>
  <si>
    <t>MUSAS SON TRADING ENTERPRISE</t>
  </si>
  <si>
    <t>VUKAYIBAMBE</t>
  </si>
  <si>
    <t>HLOMUKA SUPPLIERS AND TRADING</t>
  </si>
  <si>
    <t>THOKOMELA ENGINEERING (PTY) LTD</t>
  </si>
  <si>
    <t>GREEN UNIQUE</t>
  </si>
  <si>
    <t>MAKHUBU CIVILS CC</t>
  </si>
  <si>
    <t>XOLLY BUSINESS ENTERPRISE CC</t>
  </si>
  <si>
    <t>ASIZIQALELE CONTRACTORS CC</t>
  </si>
  <si>
    <t>ISOYI HOLDINGS</t>
  </si>
  <si>
    <t>ICHWEBA ENGINEERING AND PROJECTS</t>
  </si>
  <si>
    <t>MAGOLWANE PROJECTS AND CONSTRUCTION</t>
  </si>
  <si>
    <t>PHUMELIHLE GROUP (PTY) LTD</t>
  </si>
  <si>
    <t>INTUNGWA ELIHLE ENTERPRISE</t>
  </si>
  <si>
    <t>EZINHLE SUPPLIES AND CONTRACTORS</t>
  </si>
  <si>
    <t>ZABEST PROPERTIES</t>
  </si>
  <si>
    <t>ECOMATES</t>
  </si>
  <si>
    <t>MS MANS (PTY) LTD</t>
  </si>
  <si>
    <t>MPHIRATI TRADING</t>
  </si>
  <si>
    <t>MSUSANDABA ENTERPRISE ENTERPRISE</t>
  </si>
  <si>
    <t>DANGAZELA TRADING</t>
  </si>
  <si>
    <t>CASTLE EVEREST INDUSTRIES</t>
  </si>
  <si>
    <t xml:space="preserve">SILULEME TRADING ENTERPRISE </t>
  </si>
  <si>
    <t>NIZONOTHA TRADING ENTERPRISE</t>
  </si>
  <si>
    <t>MBOGZ CIVILS</t>
  </si>
  <si>
    <t>MLANDOMUDE PTY LTD</t>
  </si>
  <si>
    <t>AMANDELU PROJECTS</t>
  </si>
  <si>
    <t>APHELELE CATERING AND PROJECTS</t>
  </si>
  <si>
    <t>MENZIWE DEVELOPMENT PROJECTS</t>
  </si>
  <si>
    <t>SPHE NOXOLO TRADING AND PROJECTS</t>
  </si>
  <si>
    <t xml:space="preserve">SINOTHILE ENTERPRISE </t>
  </si>
  <si>
    <t>AMAGWALA TRADING</t>
  </si>
  <si>
    <t>MAGUBANE PLANT AND CONTRACTORS</t>
  </si>
  <si>
    <t>MHLANTI TRDING AND PROJECTS</t>
  </si>
  <si>
    <t>NOTHA AFRICA CIVILS PTY LTD</t>
  </si>
  <si>
    <t>SOARING CONSTRUCTION ENGINEERS PTY LTD</t>
  </si>
  <si>
    <t>BPZ CONTRACTORS AND TRADING</t>
  </si>
  <si>
    <t>MULTI SOLUTION TRADING (PTY) LTD</t>
  </si>
  <si>
    <t>HARILA COMMERCIAL PROJECTS</t>
  </si>
  <si>
    <t>MELA OKUHLE TRADING ENTERPRISE CC</t>
  </si>
  <si>
    <t xml:space="preserve">MMAMALATJI TRADING AND PROJECT </t>
  </si>
  <si>
    <t>MDIMA CIVILS (PTY) LTD</t>
  </si>
  <si>
    <t>CIVILUX PTY LTD</t>
  </si>
  <si>
    <t>SERWALE CONSTRUCTION</t>
  </si>
  <si>
    <t>LIJA HOLDINGS PTY LTD</t>
  </si>
  <si>
    <t>ZONDLE TRADING CC</t>
  </si>
  <si>
    <t>BETHU PROJECTS</t>
  </si>
  <si>
    <t xml:space="preserve">MSHANA CIVILS </t>
  </si>
  <si>
    <t xml:space="preserve">AMATAWUTAWU GENERAL TRADING </t>
  </si>
  <si>
    <t>TOMSWORKSHOP AND OTHER PROJECT</t>
  </si>
  <si>
    <t>SAMUKELINTOKOZO CONTRACTORS</t>
  </si>
  <si>
    <t>LAKHIMU INVESTMENTS (PTY) LTD</t>
  </si>
  <si>
    <t>EMATSHALINI HOLDINGS (PTY) LTD</t>
  </si>
  <si>
    <t>SHESHILE CONSTRUCTION AND SERVICES</t>
  </si>
  <si>
    <t>AVELAMASWAZI (PTY) LTD</t>
  </si>
  <si>
    <t>ZEN APEX HOLDINGS</t>
  </si>
  <si>
    <t>JUMP IN RESPONSE TRADING AND PROJECTS</t>
  </si>
  <si>
    <t>JABELU PLANT AND LOGISTICS</t>
  </si>
  <si>
    <t>TRIPLE M INVESTMENTS (PTY) LTD</t>
  </si>
  <si>
    <t>DEL STARS (PTY) LTD</t>
  </si>
  <si>
    <t>SANDISWAMI PROJECTS (PTY) LTD</t>
  </si>
  <si>
    <t>SERVIGYN 12CC</t>
  </si>
  <si>
    <t>BAYENI TRAINING AND DEVELOPMENT</t>
  </si>
  <si>
    <t>MALAIKA CONSTRUCTION PTY LTD</t>
  </si>
  <si>
    <t xml:space="preserve">TAP-TAP TRADING </t>
  </si>
  <si>
    <t>BLACK TRANSPORT AND LOGISTICS JV ELEGANT PRECIOUS</t>
  </si>
  <si>
    <t>MKF TRADING AND PROJECTS</t>
  </si>
  <si>
    <t xml:space="preserve">SANEH'S CONTRACTING AND TRADING </t>
  </si>
  <si>
    <t>VUMOKUHLE TRADING ENTERPRISE</t>
  </si>
  <si>
    <t xml:space="preserve">NDLUMBI TRADING </t>
  </si>
  <si>
    <t>KWENZEMANJE TRADING 128 CC</t>
  </si>
  <si>
    <t>MASTECH GENERAL TRADING CC</t>
  </si>
  <si>
    <t>MBOMVU DYNAMICS PTY LTD</t>
  </si>
  <si>
    <t>SIHLELILE TRADING</t>
  </si>
  <si>
    <t>VEZOKUNGCONO TRADING CC</t>
  </si>
  <si>
    <t>NGCEBO CONSULTING</t>
  </si>
  <si>
    <t>NNLK BUSINESS ENTERPRISE</t>
  </si>
  <si>
    <t>NICKELODIA TRADING (LTD) LTD</t>
  </si>
  <si>
    <t>VICO 200 (PTY) LTD</t>
  </si>
  <si>
    <t>OURKINGDOM ENGINEERING &amp; PROJECTS</t>
  </si>
  <si>
    <t>XB CONSTRRUCTION CC</t>
  </si>
  <si>
    <t>NOTHANDO PROJECTS PTY LTD</t>
  </si>
  <si>
    <t>SPURROW INSIZA ENGINEERING JV SOSK CIVIL AND BUILDING CONSTRUCTION</t>
  </si>
  <si>
    <t>STRIVING TO SATISFY</t>
  </si>
  <si>
    <t>CHRISYD CONSTRUCTION</t>
  </si>
  <si>
    <t>PR VHUTALI PROJECT MANAGEMENT</t>
  </si>
  <si>
    <t>KOMAKOH CONSTRUCTION</t>
  </si>
  <si>
    <t>ZANOTHA PROJECTS (PTY) LTD</t>
  </si>
  <si>
    <t>GEDA DEVELOPMENT (PTY) LTD</t>
  </si>
  <si>
    <t>LUMAKANYE ENTERPRISE AND PROJECTS</t>
  </si>
  <si>
    <t>T MABASO PROJECTS (PTY) LTD</t>
  </si>
  <si>
    <t xml:space="preserve">MONZAMNYAMA CONSTRUCTION </t>
  </si>
  <si>
    <t>SIBONIMBALI GROUP (PTY) LTD</t>
  </si>
  <si>
    <t>SIMPHAJABULE TRADING CC</t>
  </si>
  <si>
    <t>NGWEKAZI BUSINESS ENTERPRISE</t>
  </si>
  <si>
    <t>ZALUSELE CONSTRUCTION AND PROJECTS</t>
  </si>
  <si>
    <t xml:space="preserve">SIPHO GLAD CONSTRUCTION AND GENERAL </t>
  </si>
  <si>
    <t>ZAMA ZAMA ENGINEERING MANUFACTURES</t>
  </si>
  <si>
    <t>POLYARDS (PTY) LTD</t>
  </si>
  <si>
    <t>KHANS CONCRETE</t>
  </si>
  <si>
    <t>ASIBONGE ENGINEERS</t>
  </si>
  <si>
    <t>GREMONII CONTRACTORS</t>
  </si>
  <si>
    <t>W BLACKMINE (PTY) LTD</t>
  </si>
  <si>
    <t>MADHEWA TRADING PTY LTD</t>
  </si>
  <si>
    <t>SMB GROUP PTY LTD</t>
  </si>
  <si>
    <t>NND ENGINEERING SERVICES</t>
  </si>
  <si>
    <t>M-CHARLIE TRADING ENTERPRICE CC</t>
  </si>
  <si>
    <t xml:space="preserve">ILIZWI TRADING </t>
  </si>
  <si>
    <t>NANGU INVESTMENTS</t>
  </si>
  <si>
    <t>INABIZ (PTY) LTD</t>
  </si>
  <si>
    <t>IMBUMBA PLANT HIRE (PTY) LTD</t>
  </si>
  <si>
    <t>KMN ENGINEERING</t>
  </si>
  <si>
    <t>KHULANIMATHENJWA TRADING PTY LTD</t>
  </si>
  <si>
    <t>SANOQWABE CONSULTANTS</t>
  </si>
  <si>
    <t>LWAPHIWE HOLDINGS</t>
  </si>
  <si>
    <t>MASHUDULA CIVILS PTY LTD</t>
  </si>
  <si>
    <t>SENZELWE TRADING 12 CC</t>
  </si>
  <si>
    <t xml:space="preserve">THANDOLWESIPHO TRADING </t>
  </si>
  <si>
    <t>NTUNISA GENERAL TRADING (PTY) LTD</t>
  </si>
  <si>
    <t>TSWAQKELO (PTY) LTD</t>
  </si>
  <si>
    <t>YANDIMVELO CREATIONS (PTY) LTD</t>
  </si>
  <si>
    <t>MPUMESH (PTY) LTD</t>
  </si>
  <si>
    <t>SIKHIPHA IKHONO TRADING (PTY) LTD</t>
  </si>
  <si>
    <t xml:space="preserve">YAZINR TRADING ENTERPRISE </t>
  </si>
  <si>
    <t xml:space="preserve">CUWANA TRADING </t>
  </si>
  <si>
    <t xml:space="preserve">EKWANDENI (PTY) LTD </t>
  </si>
  <si>
    <t xml:space="preserve">MO MTWANA TRADING </t>
  </si>
  <si>
    <t>NOYANDA EVENTS</t>
  </si>
  <si>
    <t>ENDLELENI HOLDINGS CC</t>
  </si>
  <si>
    <t>SIDLEKHAYA TRADING CC</t>
  </si>
  <si>
    <t xml:space="preserve">KWAZI AND KHULI PLANT HIRE </t>
  </si>
  <si>
    <t xml:space="preserve">MAPHITHUMA CONSTRUCTION </t>
  </si>
  <si>
    <t xml:space="preserve">LOLUNTU TRADING (PTY LTD </t>
  </si>
  <si>
    <t>MONZAMNYAMA CONSTRUCTION CC</t>
  </si>
  <si>
    <t xml:space="preserve">EZABAWELI TRADING </t>
  </si>
  <si>
    <t>INKWAZI INDUSTRIAL SERVICES</t>
  </si>
  <si>
    <t xml:space="preserve">SANDYSPLASH TRADING (PTY) LTD </t>
  </si>
  <si>
    <t xml:space="preserve">BONGA TRADING (PTY) LTD </t>
  </si>
  <si>
    <t xml:space="preserve">EJX PHAPHAMA TRADING (PTY) LTD </t>
  </si>
  <si>
    <t>QODENI TRADING (PTY) LTD</t>
  </si>
  <si>
    <t>ZIME-DU TRADING</t>
  </si>
  <si>
    <t>QATHUZILE TRADING</t>
  </si>
  <si>
    <t>IGAZI LEMVANA CO-OPERATIVE LIMITED</t>
  </si>
  <si>
    <t xml:space="preserve">THEMBALINE TRADING </t>
  </si>
  <si>
    <t>MIMI WORKX</t>
  </si>
  <si>
    <t>LWANDES TRADING PTY LTD</t>
  </si>
  <si>
    <t>MTHOTHOVANE TRADING</t>
  </si>
  <si>
    <t>NANA E PROJECTS</t>
  </si>
  <si>
    <t>SUKUMILE INVESTMENT PTY LTD</t>
  </si>
  <si>
    <t>REBS AND LUNGI TRADING</t>
  </si>
  <si>
    <t>ENZAKAHLE TRADING AND PROJECTS</t>
  </si>
  <si>
    <t>SECTOR6 PTY LTD</t>
  </si>
  <si>
    <t>MGEDWANA TRADING ENTERPRISE</t>
  </si>
  <si>
    <t>ZMS CONSTRUCION CC</t>
  </si>
  <si>
    <t>MANDISOKUHLE TRADING PTY LTD</t>
  </si>
  <si>
    <t>SGUQADEKE TRADING</t>
  </si>
  <si>
    <t>EKANQOBIZITHA CONTRACTOR CC</t>
  </si>
  <si>
    <t>SNIKE CONSTRUCTION AND GENERAL</t>
  </si>
  <si>
    <t>MAPLANI DEVELOPMENT &amp; PROJECTS</t>
  </si>
  <si>
    <t xml:space="preserve">SIMEMBA ENTERPRISE </t>
  </si>
  <si>
    <t>MXETSHYLWA</t>
  </si>
  <si>
    <t>NS NTANZI ATTORNEYS INC.</t>
  </si>
  <si>
    <t>BM THUSINI INC.</t>
  </si>
  <si>
    <t>LT MNGOMEZULU ATTORNEYS</t>
  </si>
  <si>
    <t>CS ZONDI AND ASSOCIATED INC</t>
  </si>
  <si>
    <t>MXOLISI NDWANDWE ATTORNEYS</t>
  </si>
  <si>
    <t>ZUMA AND PARTNERS INCORPORATED</t>
  </si>
  <si>
    <t>MMMG ATTORNEYS</t>
  </si>
  <si>
    <t>MAMATELA ATTORNEYS</t>
  </si>
  <si>
    <t>AMITH LUCKAN AND COMPANY</t>
  </si>
  <si>
    <t>RAFIQ KHAN AND CO.</t>
  </si>
  <si>
    <t>NQULM8/2023-2024</t>
  </si>
  <si>
    <t>NQULM22/2021-2022</t>
  </si>
  <si>
    <t>INCUBATOR BUILDING - COMPLETION OF PAVING)</t>
  </si>
  <si>
    <t>NQULM42/2023-2024</t>
  </si>
  <si>
    <t>NQULM43/2023-2024</t>
  </si>
  <si>
    <t>CONSTRUCTION OF VUKEFILE ACCESS ROAD</t>
  </si>
  <si>
    <t xml:space="preserve">July </t>
  </si>
  <si>
    <t xml:space="preserve">May </t>
  </si>
  <si>
    <t>GLEDCOLN ENTERPRISE (PTY) LTD</t>
  </si>
  <si>
    <t>,</t>
  </si>
  <si>
    <t>One capital project which has expenditure in 2023-2024 financial year</t>
  </si>
  <si>
    <t>Supplier</t>
  </si>
  <si>
    <t>Project Code</t>
  </si>
  <si>
    <t>Amount</t>
  </si>
  <si>
    <t>4789</t>
  </si>
  <si>
    <t>Project code</t>
  </si>
  <si>
    <t xml:space="preserve">5907 Cellular </t>
  </si>
  <si>
    <t>5911 Telephones</t>
  </si>
  <si>
    <t>Printing and stationery</t>
  </si>
  <si>
    <t>MAAA0886666</t>
  </si>
  <si>
    <t>MAAA0144526</t>
  </si>
  <si>
    <t>MAAA0214762</t>
  </si>
  <si>
    <t>MAAA1485236</t>
  </si>
  <si>
    <t>MAAA0235418</t>
  </si>
  <si>
    <t>MAAA0145329</t>
  </si>
  <si>
    <t>MAAA0324862</t>
  </si>
  <si>
    <t>MAAA0112354</t>
  </si>
  <si>
    <t>MAAA0145896</t>
  </si>
  <si>
    <t>MAAA0235489</t>
  </si>
  <si>
    <t>MAAA0752341</t>
  </si>
  <si>
    <t>MAAA0354785</t>
  </si>
  <si>
    <t>MAINTENANCE OF ANIMAL POUND FOR THE PERIOD OF 36 MONTHS</t>
  </si>
  <si>
    <t>APPOINTMENT OF SERVICE PROVIDER FOR TRAVEL AGENT SERVICES FOR THE PERIOD OF 36 MONTHS</t>
  </si>
  <si>
    <t>RATES</t>
  </si>
  <si>
    <t>CONSTRUCTON OF NQUTHU TRAFFIC OFFICES</t>
  </si>
  <si>
    <t>2024-2025</t>
  </si>
  <si>
    <t>FIRST TECHNOLOGY KWAZULU NATAL (PTY) LTD</t>
  </si>
  <si>
    <t>VODACOM (PTY) LTD</t>
  </si>
  <si>
    <t>INNOVO NETWORKS</t>
  </si>
  <si>
    <t>NISUCRAFT T/A CARTIME VRYHEID</t>
  </si>
  <si>
    <t>ESIBAYENI ZM HOLDINGS</t>
  </si>
  <si>
    <t>MDURAH AUTO SPARES</t>
  </si>
  <si>
    <t>NQOLAMASONDOSONDO INVESTMENTS</t>
  </si>
  <si>
    <t>YIMELELE EMPIRE</t>
  </si>
  <si>
    <t>MAX PROF</t>
  </si>
  <si>
    <t>AFRIZEN ACCOUNTING AND CONSULTING</t>
  </si>
  <si>
    <t>INKAZIMULO CONSULTING</t>
  </si>
  <si>
    <t>PROMILEZI</t>
  </si>
  <si>
    <t>DYNAMIC DASHING SOLUTIONS</t>
  </si>
  <si>
    <t>MMB CONSULTING</t>
  </si>
  <si>
    <t>3 PHASE BROTHERS (PTY) LTD</t>
  </si>
  <si>
    <t>MASINA ENGINEERING (PTY) LTD</t>
  </si>
  <si>
    <t>ELEGANT LINE TRADING 785 CC</t>
  </si>
  <si>
    <t>ALEXADRAH THIRD 3330 TRADING CC</t>
  </si>
  <si>
    <t>RE-MATLA TRADING ENTERPRISE</t>
  </si>
  <si>
    <t>MAKOLONI PROJECTS (PTY) LTD</t>
  </si>
  <si>
    <t>R BUSISIWE</t>
  </si>
  <si>
    <t>KHUDUMILE TRADING CC</t>
  </si>
  <si>
    <t>CAPITAL POWER PROJECTS</t>
  </si>
  <si>
    <t>GETG INSTRUMENTATION</t>
  </si>
  <si>
    <t>AFRILECTRICAL ENGINEERING</t>
  </si>
  <si>
    <t>KUHLE MCEBO ENGINEERING</t>
  </si>
  <si>
    <t>UMZAMO WONKE TRADING AND PROJECTS</t>
  </si>
  <si>
    <t>EUDEMONIA ELECTRICAL PROJECTS</t>
  </si>
  <si>
    <t>ZINHLE AND FAMILY GROUP (PTY) LTD</t>
  </si>
  <si>
    <t>BRILLIATN TELECOMMUNICATIONS (PTY) LTD</t>
  </si>
  <si>
    <t>ANEZI CONNECT (PTY) LTD</t>
  </si>
  <si>
    <t>KHANYA AFRICA NETWORKS</t>
  </si>
  <si>
    <t>COMCO INTELLECTUAL SOLUTIONS</t>
  </si>
  <si>
    <t>COOLE NETWORKS AND TECHNOLOGY</t>
  </si>
  <si>
    <t>INTWENHLE NJENGE ULTRAMELOH</t>
  </si>
  <si>
    <t>INNOVATION GOVERNMENT</t>
  </si>
  <si>
    <t>JIBAS RECYCLING</t>
  </si>
  <si>
    <t>SPEPIMELO (PTY) LTD</t>
  </si>
  <si>
    <t>Vimtsire Protection Services 80</t>
  </si>
  <si>
    <t>Mhlomeni Security and Construction</t>
  </si>
  <si>
    <t>Siyejabula Security Solution</t>
  </si>
  <si>
    <t>The Great 77 Security Services (Pty) Ltd</t>
  </si>
  <si>
    <t>Popo Protection Services</t>
  </si>
  <si>
    <t>Mafoko Security Patrols (Pty) Ltd 80</t>
  </si>
  <si>
    <t>Aros Protection Services</t>
  </si>
  <si>
    <t>Calvin  Family Security 85</t>
  </si>
  <si>
    <t>Red Ant Security Relocation Eviction</t>
  </si>
  <si>
    <t>LSG Projects CC</t>
  </si>
  <si>
    <t>FBL VIP Protection</t>
  </si>
  <si>
    <t>Nomasulumane Trading and Projects</t>
  </si>
  <si>
    <t>Red &amp; Black Group (Pty) Ltd</t>
  </si>
  <si>
    <t>Asiphilesande Trading T/A ASPD Security Services</t>
  </si>
  <si>
    <t>JMP Security Solutions</t>
  </si>
  <si>
    <t>Vela - Tech Security</t>
  </si>
  <si>
    <t>Ngqingetshe Secturity</t>
  </si>
  <si>
    <t>Siphile Security Services</t>
  </si>
  <si>
    <t>Gijima KM Security Services (Pty) Ltd</t>
  </si>
  <si>
    <t>Sizokwakha Services</t>
  </si>
  <si>
    <t>Fezile Security Services</t>
  </si>
  <si>
    <t>Gardasa Security Service /mathabela tv</t>
  </si>
  <si>
    <t>Future Security service</t>
  </si>
  <si>
    <t>Tactical Security service</t>
  </si>
  <si>
    <t>Kenyon Rock Work</t>
  </si>
  <si>
    <t>Shandu VIP Security</t>
  </si>
  <si>
    <t>Gasela Protection Services</t>
  </si>
  <si>
    <t>Iso Security Services</t>
  </si>
  <si>
    <t xml:space="preserve">Mvikeli Holdings </t>
  </si>
  <si>
    <t>Izibonkolo Security Services</t>
  </si>
  <si>
    <t>Vusa - Isizwe Security</t>
  </si>
  <si>
    <t>Nomgwenya Security and Trading Cc</t>
  </si>
  <si>
    <t>Inkululeko Yama Africa</t>
  </si>
  <si>
    <t>Prime African Security (PTY) LTD 85</t>
  </si>
  <si>
    <t>RE-ADVERT PANEL OF  SERVICE PROVIDERS FOR SUPPLY, INSTALLATION AND MAINTENANCE OF INTEGRATED TELECOMMUNICATIONS FOR THE PERIOD OF 36 MONTHS</t>
  </si>
  <si>
    <t>RE-ADVERT PANEL OF SERVICE PPROVIDERS FOR EMERGENCY MOTOR MECHANIC FOR THE PERIOD OF 36 MONTHS</t>
  </si>
  <si>
    <t>RE-ADVERT PANEL OF SERVICE PROVIDERS FOR FINANCIAL SUPPORT FOR THE PERIOD OF 36 MONTHS</t>
  </si>
  <si>
    <t>RE-ADVERT PANEL OF SERVICE PROVIDERS FOR EMERGENCY ELECTRICITY BREAKDOWN</t>
  </si>
  <si>
    <t>RE-ADVERT PANEL OF SERVICE PROVIDERS FOR SUPPLY AND DELIVERY OF IT RELATED SOFTWARE AND HARDWARE ON AS AND WHEN REQUIRED BASIS FOR A PERIOD OF 36 MONTHS</t>
  </si>
  <si>
    <t>SUPPLY, DELIVERY AND MAINTENANCE OF HOSTED PABX TELEPHONE SYSTEM</t>
  </si>
  <si>
    <t>SUPPLY, DELIVERY AND MAINTENANCE OF INTERNET SERVICES/ FIREWALL AND SD WAN</t>
  </si>
  <si>
    <t>INSTALLATION OF LOCAL AREA NETWORK FOR TRAFFIC AND DISASTER OFFICES</t>
  </si>
  <si>
    <t>RE-ADVERT APPOINTMENT OF SERVICE PROVIDER TO MANAGE AND OPERATE NQUTHU BUY BACK CENTRE FOR A PERIOD OF 36 MONTHS</t>
  </si>
  <si>
    <t>SUPPLY AND DELIVERY OF AGRICULTURAL INPUTS, FEEDS, TOOLS AND MEDICATIONS FOR NQUTHU MUNICIPALITY</t>
  </si>
  <si>
    <t>THE CONSTRUCTION OF THE SIKHALENI SKUDU GRAVEL ACCESS ROAD AND UPGRADE OF TWO CAUSEWAYS IN WARD 10</t>
  </si>
  <si>
    <t>THE CONSTRUCTION OF A NEW NTABENDE GRAEL ACCESS ROAD IN WARD 18</t>
  </si>
  <si>
    <t>CONSTRUCTION OF NONDWENI ACCESS ROADS IN WARD 06</t>
  </si>
  <si>
    <t>PANEL OF SERVICE PROVIDERS FOR THE PROVISION OF SECURITY SERVICES FOR THE PERIOD OF 36 MONTHS</t>
  </si>
  <si>
    <t>2024/25 AFS, IFS AND PROVIDE FINANCIAL SUPPORT FOR THE PERIOD OF 12 MONTHS</t>
  </si>
  <si>
    <t>EXPENDITURE AS AT  
1 JULY 2024</t>
  </si>
  <si>
    <t>2025 EXPENDITURE</t>
  </si>
  <si>
    <t>TOTAL EXPENDITURE AS AT  30 June 2025</t>
  </si>
  <si>
    <t xml:space="preserve">2025
CONTRACT BALANCE
</t>
  </si>
  <si>
    <t>CONSTRUCTION OF NONDWENI SPORTFIELD IN WARD 06</t>
  </si>
  <si>
    <t>CONSTRUCTION OF EMPUMELELWENI CEMETERY EXTENSION IN WARD 09</t>
  </si>
  <si>
    <t>NQULM19/24-25</t>
  </si>
  <si>
    <t>NQULM17/24-25</t>
  </si>
  <si>
    <t>NQULM18/24-25</t>
  </si>
  <si>
    <t>NQUTHU SUBSTATION</t>
  </si>
  <si>
    <t>CONSTRUCTION OF ISANDLWANA CULTURAL HERITAGE MULTI PURPOSE COMMUNITY HALL IN WARD 2</t>
  </si>
  <si>
    <t>OURKINGDOM ENGINEERING - CONSULTANT</t>
  </si>
  <si>
    <t>GREFS HOLDINGS - CONSULTANT</t>
  </si>
  <si>
    <t>MULTI SOLUTION TRADING (PTY) LTD - CONTRACTOR</t>
  </si>
  <si>
    <t>MZANSI AFRICA CIVILS - CONSULTANT</t>
  </si>
  <si>
    <t>APHELELA CIVILS AND PROJECTS - CONTRACTOR</t>
  </si>
  <si>
    <t>ABAZINGELI CIVILS - CONSULTANT</t>
  </si>
  <si>
    <t>ASIZIQALELE CONTRACTORS CC - CONTRACTOR</t>
  </si>
  <si>
    <t>REFLECTIVE THINKING - CONSULTANT</t>
  </si>
  <si>
    <t>IZIPHOZONKE TRADING ENTERPRISE - CONTRACTOR</t>
  </si>
  <si>
    <t>SENZELWE TRADING 112 CC - CONTRACTOR</t>
  </si>
  <si>
    <t>ISANDO STRUCTURAL ENGINEERING AND CIVIL - CONSULTANT</t>
  </si>
  <si>
    <t>ASIZIQALELE CONTRACTORS - CONTRACTOR</t>
  </si>
  <si>
    <t>MSUSANDABA TRADING ENTERPRISE - CONTRACTOR</t>
  </si>
  <si>
    <t>MAGEBA PROJECTS JV PR VHUTALI - CONTRACTOR</t>
  </si>
  <si>
    <t>MATHAWULA TRADING - CONTRACTOR</t>
  </si>
  <si>
    <t>MVULO CONSULTING - CONSULTANT</t>
  </si>
  <si>
    <t>VUKAYIBAMBE DEVELOPMENT - CONTRACTOR</t>
  </si>
  <si>
    <t>NEAK (PTY) LTD - CONTRACTOR</t>
  </si>
  <si>
    <t>EYAMALINDA  - CESSION</t>
  </si>
  <si>
    <t>MINATHI CONSULTING - CONSULTANT</t>
  </si>
  <si>
    <t>SILULEME TRADING - MAIN CONTRACTOR</t>
  </si>
  <si>
    <t>DLAMINDLOVU TRADING - CONSULTANT</t>
  </si>
  <si>
    <t>QUANTUM LEAP INVESTMENTS - CONTRACTOR</t>
  </si>
  <si>
    <t>SIYAKHONA HOLDINGS - CONSTRACTOR</t>
  </si>
  <si>
    <t>SIMPHULWAZI ENGINEERS - CONSULTANT</t>
  </si>
  <si>
    <t>TNT HOLDINGS - CESSION</t>
  </si>
  <si>
    <t>SIMAKADE HOLDINGS - CESSION</t>
  </si>
  <si>
    <t>BM PROJECTS - CONSULTANT</t>
  </si>
  <si>
    <t>MKF TRADING - MAIN CONTRACTOR</t>
  </si>
  <si>
    <t>ENDUNENI CONTRACTORS - CESSION</t>
  </si>
  <si>
    <t>KAMAWEWE DEVELOPMENT CONSULTANTS - MAIN CONTRACTOR</t>
  </si>
  <si>
    <t>BAPHI INVESTMENTS - CONTRACTOR</t>
  </si>
  <si>
    <t>AMATAWUTAWU GENERAL TRADING - CONTRACTOR</t>
  </si>
  <si>
    <t>GASELA PLANT HIRE - CONTRACTOR</t>
  </si>
  <si>
    <t>IGATSHA CONSULTING - CONSULTANT</t>
  </si>
  <si>
    <t>KWAMVELIHLE TRADING - CONTRACTOR</t>
  </si>
  <si>
    <t>NEBO SOLUTIONS - CONTRACTOR</t>
  </si>
  <si>
    <t>DLV - CONSULTANT</t>
  </si>
  <si>
    <t>SURE BOSS - CONTRACTOR</t>
  </si>
  <si>
    <t>SIM AND LUKHO PROPERTY DEVELOPMENT - CONTRACTOR</t>
  </si>
  <si>
    <t>SELE AND MUSA TRADING AND TOURS - MAIN CONTRACTOR</t>
  </si>
  <si>
    <t>TAP TAP TRADING &amp; PROJECTS - MAIN CONTRACTOR</t>
  </si>
  <si>
    <t>MAGOLWANE &amp; ZIPHOZONKE JV - CONTRACTOR</t>
  </si>
  <si>
    <t>ISIKHONYANE CIVILS - CESSION</t>
  </si>
  <si>
    <t>ZIBANDLELA TRADING - CESSION</t>
  </si>
  <si>
    <t>NQULM16/2024-25</t>
  </si>
  <si>
    <t>NQULM18/2024-25</t>
  </si>
  <si>
    <t>NQULM17/2024-25</t>
  </si>
  <si>
    <t>NQULM/35/2023-2024</t>
  </si>
  <si>
    <t>NQULM/04/2024-2025</t>
  </si>
  <si>
    <t>NQULM/2024-2025</t>
  </si>
  <si>
    <t>NQULM40/2024-2025</t>
  </si>
  <si>
    <t>NQULM36/2024-2025</t>
  </si>
  <si>
    <t>NQULM37/2024-2025</t>
  </si>
  <si>
    <t>NQULM41/2024-2025</t>
  </si>
  <si>
    <t>PROVISION OF ASSET MANAGEMENT SYSTEM AND SUPPORT FOR A PERIOD OF 12 MONTHS</t>
  </si>
  <si>
    <t>RENEW TERRAFLEX ADVANCED ANNUAL SUBCRIPTION FOR 24 MONTHS</t>
  </si>
  <si>
    <t>APPOINTMENT OF SERVICE PPROVIDER FOR DEVELOPMENT OF NQUTHU LOCAL MUNICIPALITY INVESTMENT PRIORITIZATION STRATEGY</t>
  </si>
  <si>
    <t>PROVISION OF CLINICAL PSYCHOLOGIST FOR A PERIOD OF 36 MONTHS</t>
  </si>
  <si>
    <t>FIDELITY CASH SOLUTIONS</t>
  </si>
  <si>
    <t>SSPS OPULENCE GROUP (PTY) LTD</t>
  </si>
  <si>
    <t>AQUA TRANSPORT AND PLANT HIRE (PTY) LTD</t>
  </si>
  <si>
    <t>KUKHULU PLANT HIRE (PTY) LTD</t>
  </si>
  <si>
    <t>MPILEBANZI PROJECTS (PTY) LTD</t>
  </si>
  <si>
    <t>COMPETITION CONSTRUCTION CC</t>
  </si>
  <si>
    <t>YANDY JC (PTY) LTD</t>
  </si>
  <si>
    <t>NOXOLO AND MALI TRADING</t>
  </si>
  <si>
    <t>SIYEJABULA TRADING CC</t>
  </si>
  <si>
    <t>MHLONIPHENI GENERAL TRADING</t>
  </si>
  <si>
    <t>NQULM35/2024-2025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</si>
</sst>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R&quot;* #,##0.00_-;\-&quot;R&quot;* #,##0.00_-;_-&quot;R&quot;* &quot;-&quot;??_-;_-@_-"/>
    <numFmt numFmtId="43" formatCode="_-* #,##0.00_-;\-* #,##0.00_-;_-* &quot;-&quot;??_-;_-@_-"/>
    <numFmt numFmtId="164" formatCode="_ * #,##0.00_ ;_ * \-#,##0.00_ ;_ * &quot;-&quot;??_ ;_ @_ "/>
    <numFmt numFmtId="165" formatCode="&quot;R&quot;\ #,##0.00"/>
    <numFmt numFmtId="166" formatCode="yyyy/mm/dd;@"/>
    <numFmt numFmtId="167" formatCode="_ * #,##0_ ;_ * \-#,##0_ ;_ * &quot;-&quot;??_ ;_ @_ "/>
    <numFmt numFmtId="168" formatCode="_ &quot;R&quot;\ * #,##0.00_ ;_ &quot;R&quot;\ * \-#,##0.00_ ;_ &quot;R&quot;\ * &quot;-&quot;??_ ;_ @_ "/>
  </numFmts>
  <fonts count="36" x14ac:knownFonts="1">
    <font>
      <sz val="11"/>
      <color theme="1"/>
      <name val="Calibri"/>
      <family val="2"/>
      <scheme val="minor"/>
    </font>
    <font>
      <sz val="11"/>
      <color theme="1"/>
      <name val="Calibri"/>
      <family val="2"/>
      <scheme val="minor"/>
    </font>
    <font>
      <b/>
      <sz val="11"/>
      <color theme="1"/>
      <name val="Calibri"/>
      <family val="2"/>
      <scheme val="minor"/>
    </font>
    <font>
      <sz val="9"/>
      <color theme="1"/>
      <name val="Calibri"/>
      <family val="2"/>
      <scheme val="minor"/>
    </font>
    <font>
      <b/>
      <sz val="9"/>
      <color theme="1"/>
      <name val="Calibri"/>
      <family val="2"/>
      <scheme val="minor"/>
    </font>
    <font>
      <b/>
      <sz val="9"/>
      <color theme="0"/>
      <name val="Calibri"/>
      <family val="2"/>
      <scheme val="minor"/>
    </font>
    <font>
      <sz val="9"/>
      <color theme="0"/>
      <name val="Calibri"/>
      <family val="2"/>
      <scheme val="minor"/>
    </font>
    <font>
      <sz val="9"/>
      <name val="Calibri"/>
      <family val="2"/>
      <scheme val="minor"/>
    </font>
    <font>
      <b/>
      <sz val="9"/>
      <name val="Calibri"/>
      <family val="2"/>
      <scheme val="minor"/>
    </font>
    <font>
      <sz val="9"/>
      <name val="Arial"/>
      <family val="2"/>
    </font>
    <font>
      <sz val="9"/>
      <color rgb="FF000000"/>
      <name val="Calibri"/>
      <family val="2"/>
      <scheme val="minor"/>
    </font>
    <font>
      <b/>
      <sz val="9"/>
      <color theme="5" tint="0.59999389629810485"/>
      <name val="Calibri"/>
      <family val="2"/>
      <scheme val="minor"/>
    </font>
    <font>
      <sz val="9"/>
      <color theme="5" tint="0.59999389629810485"/>
      <name val="Calibri"/>
      <family val="2"/>
      <scheme val="minor"/>
    </font>
    <font>
      <b/>
      <sz val="9"/>
      <color indexed="81"/>
      <name val="Tahoma"/>
      <family val="2"/>
    </font>
    <font>
      <sz val="9"/>
      <color indexed="81"/>
      <name val="Tahoma"/>
      <family val="2"/>
    </font>
    <font>
      <b/>
      <sz val="12"/>
      <color theme="0"/>
      <name val="Calibri"/>
      <family val="2"/>
      <scheme val="minor"/>
    </font>
    <font>
      <sz val="8"/>
      <name val="Calibri"/>
      <family val="2"/>
      <scheme val="minor"/>
    </font>
    <font>
      <sz val="9"/>
      <color rgb="FFFF0000"/>
      <name val="Calibri"/>
      <family val="2"/>
      <scheme val="minor"/>
    </font>
    <font>
      <b/>
      <sz val="12"/>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color rgb="FF000000"/>
      <name val="Tahoma"/>
      <family val="2"/>
    </font>
    <font>
      <b/>
      <sz val="9"/>
      <color rgb="FFFF0000"/>
      <name val="Calibri"/>
      <family val="2"/>
      <scheme val="minor"/>
    </font>
  </fonts>
  <fills count="44">
    <fill>
      <patternFill patternType="none"/>
    </fill>
    <fill>
      <patternFill patternType="gray125"/>
    </fill>
    <fill>
      <patternFill patternType="solid">
        <fgColor rgb="FF00B050"/>
        <bgColor indexed="64"/>
      </patternFill>
    </fill>
    <fill>
      <patternFill patternType="solid">
        <fgColor rgb="FF92D050"/>
        <bgColor indexed="64"/>
      </patternFill>
    </fill>
    <fill>
      <patternFill patternType="solid">
        <fgColor rgb="FF00B0F0"/>
        <bgColor indexed="64"/>
      </patternFill>
    </fill>
    <fill>
      <patternFill patternType="solid">
        <fgColor rgb="FFFF0000"/>
        <bgColor indexed="64"/>
      </patternFill>
    </fill>
    <fill>
      <patternFill patternType="solid">
        <fgColor rgb="FFFFFF00"/>
        <bgColor indexed="64"/>
      </patternFill>
    </fill>
    <fill>
      <patternFill patternType="solid">
        <fgColor theme="0" tint="-0.249977111117893"/>
        <bgColor indexed="64"/>
      </patternFill>
    </fill>
    <fill>
      <patternFill patternType="solid">
        <fgColor theme="0"/>
        <bgColor indexed="64"/>
      </patternFill>
    </fill>
    <fill>
      <patternFill patternType="solid">
        <fgColor rgb="FFFFC000"/>
        <bgColor indexed="64"/>
      </patternFill>
    </fill>
    <fill>
      <patternFill patternType="solid">
        <fgColor theme="5" tint="0.39997558519241921"/>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bottom style="medium">
        <color indexed="64"/>
      </bottom>
      <diagonal/>
    </border>
    <border>
      <left style="thin">
        <color indexed="64"/>
      </left>
      <right/>
      <top/>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3D3D3"/>
      </left>
      <right style="thin">
        <color rgb="FFD3D3D3"/>
      </right>
      <top style="thin">
        <color rgb="FFD3D3D3"/>
      </top>
      <bottom style="thin">
        <color rgb="FFD3D3D3"/>
      </bottom>
      <diagonal/>
    </border>
    <border>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right/>
      <top style="thin">
        <color indexed="64"/>
      </top>
      <bottom/>
      <diagonal/>
    </border>
  </borders>
  <cellStyleXfs count="50">
    <xf numFmtId="0" fontId="0" fillId="0" borderId="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0" fontId="19" fillId="0" borderId="0" applyNumberFormat="0" applyFill="0" applyBorder="0" applyAlignment="0" applyProtection="0"/>
    <xf numFmtId="0" fontId="20" fillId="0" borderId="50" applyNumberFormat="0" applyFill="0" applyAlignment="0" applyProtection="0"/>
    <xf numFmtId="0" fontId="21" fillId="0" borderId="51" applyNumberFormat="0" applyFill="0" applyAlignment="0" applyProtection="0"/>
    <xf numFmtId="0" fontId="22" fillId="0" borderId="52" applyNumberFormat="0" applyFill="0" applyAlignment="0" applyProtection="0"/>
    <xf numFmtId="0" fontId="22" fillId="0" borderId="0" applyNumberFormat="0" applyFill="0" applyBorder="0" applyAlignment="0" applyProtection="0"/>
    <xf numFmtId="0" fontId="23" fillId="13" borderId="0" applyNumberFormat="0" applyBorder="0" applyAlignment="0" applyProtection="0"/>
    <xf numFmtId="0" fontId="24" fillId="14" borderId="0" applyNumberFormat="0" applyBorder="0" applyAlignment="0" applyProtection="0"/>
    <xf numFmtId="0" fontId="25" fillId="15" borderId="0" applyNumberFormat="0" applyBorder="0" applyAlignment="0" applyProtection="0"/>
    <xf numFmtId="0" fontId="26" fillId="16" borderId="53" applyNumberFormat="0" applyAlignment="0" applyProtection="0"/>
    <xf numFmtId="0" fontId="27" fillId="17" borderId="54" applyNumberFormat="0" applyAlignment="0" applyProtection="0"/>
    <xf numFmtId="0" fontId="28" fillId="17" borderId="53" applyNumberFormat="0" applyAlignment="0" applyProtection="0"/>
    <xf numFmtId="0" fontId="29" fillId="0" borderId="55" applyNumberFormat="0" applyFill="0" applyAlignment="0" applyProtection="0"/>
    <xf numFmtId="0" fontId="30" fillId="18" borderId="56" applyNumberFormat="0" applyAlignment="0" applyProtection="0"/>
    <xf numFmtId="0" fontId="31" fillId="0" borderId="0" applyNumberFormat="0" applyFill="0" applyBorder="0" applyAlignment="0" applyProtection="0"/>
    <xf numFmtId="0" fontId="1" fillId="19" borderId="57" applyNumberFormat="0" applyFont="0" applyAlignment="0" applyProtection="0"/>
    <xf numFmtId="0" fontId="32" fillId="0" borderId="0" applyNumberFormat="0" applyFill="0" applyBorder="0" applyAlignment="0" applyProtection="0"/>
    <xf numFmtId="0" fontId="2" fillId="0" borderId="58" applyNumberFormat="0" applyFill="0" applyAlignment="0" applyProtection="0"/>
    <xf numFmtId="0" fontId="33"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33"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33"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3"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33"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33"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012">
    <xf numFmtId="0" fontId="0" fillId="0" borderId="0" xfId="0"/>
    <xf numFmtId="0" fontId="3" fillId="0" borderId="1" xfId="0" applyFont="1" applyBorder="1"/>
    <xf numFmtId="0" fontId="3" fillId="0" borderId="1" xfId="0" applyFont="1" applyBorder="1" applyAlignment="1">
      <alignment horizontal="left"/>
    </xf>
    <xf numFmtId="0" fontId="7" fillId="2" borderId="1" xfId="0" applyFont="1" applyFill="1" applyBorder="1"/>
    <xf numFmtId="0" fontId="7" fillId="0" borderId="1" xfId="0" applyFont="1" applyBorder="1"/>
    <xf numFmtId="166" fontId="7" fillId="0" borderId="1" xfId="0" applyNumberFormat="1" applyFont="1" applyBorder="1" applyAlignment="1">
      <alignment horizontal="center" vertical="center"/>
    </xf>
    <xf numFmtId="0" fontId="7" fillId="0" borderId="1" xfId="0" applyFont="1" applyBorder="1" applyAlignment="1">
      <alignment wrapText="1"/>
    </xf>
    <xf numFmtId="164" fontId="7" fillId="0" borderId="1" xfId="2" applyFont="1" applyFill="1" applyBorder="1" applyAlignment="1">
      <alignment wrapText="1"/>
    </xf>
    <xf numFmtId="164" fontId="7" fillId="2" borderId="1" xfId="2" applyFont="1" applyFill="1" applyBorder="1" applyAlignment="1">
      <alignment wrapText="1"/>
    </xf>
    <xf numFmtId="164" fontId="7" fillId="0" borderId="1" xfId="2" applyFont="1" applyFill="1" applyBorder="1"/>
    <xf numFmtId="0" fontId="7" fillId="0" borderId="0" xfId="0" applyFont="1"/>
    <xf numFmtId="164" fontId="3" fillId="0" borderId="1" xfId="2" applyFont="1" applyFill="1" applyBorder="1" applyAlignment="1">
      <alignment horizontal="left"/>
    </xf>
    <xf numFmtId="164" fontId="3" fillId="0" borderId="1" xfId="2" applyFont="1" applyBorder="1" applyAlignment="1">
      <alignment horizontal="left"/>
    </xf>
    <xf numFmtId="0" fontId="3" fillId="0" borderId="0" xfId="0" applyFont="1" applyAlignment="1">
      <alignment horizontal="left"/>
    </xf>
    <xf numFmtId="14" fontId="7" fillId="0" borderId="1" xfId="0" applyNumberFormat="1" applyFont="1" applyBorder="1" applyAlignment="1">
      <alignment horizontal="center" vertical="center"/>
    </xf>
    <xf numFmtId="164" fontId="3" fillId="0" borderId="1" xfId="2" applyFont="1" applyFill="1" applyBorder="1"/>
    <xf numFmtId="164" fontId="7" fillId="3" borderId="1" xfId="2" applyFont="1" applyFill="1" applyBorder="1" applyAlignment="1">
      <alignment vertical="center"/>
    </xf>
    <xf numFmtId="0" fontId="3" fillId="2" borderId="1" xfId="0" applyFont="1" applyFill="1" applyBorder="1"/>
    <xf numFmtId="168" fontId="7" fillId="0" borderId="1" xfId="0" applyNumberFormat="1" applyFont="1" applyBorder="1" applyAlignment="1">
      <alignment vertical="center"/>
    </xf>
    <xf numFmtId="0" fontId="3" fillId="0" borderId="0" xfId="0" applyFont="1"/>
    <xf numFmtId="0" fontId="7" fillId="0" borderId="1" xfId="0" applyFont="1" applyBorder="1" applyAlignment="1">
      <alignment horizontal="left"/>
    </xf>
    <xf numFmtId="44" fontId="3" fillId="0" borderId="1" xfId="0" applyNumberFormat="1" applyFont="1" applyBorder="1" applyAlignment="1">
      <alignment horizontal="left"/>
    </xf>
    <xf numFmtId="164" fontId="7" fillId="0" borderId="1" xfId="2" applyFont="1" applyFill="1" applyBorder="1" applyAlignment="1">
      <alignment horizontal="left"/>
    </xf>
    <xf numFmtId="164" fontId="3" fillId="2" borderId="1" xfId="2" applyFont="1" applyFill="1" applyBorder="1" applyAlignment="1">
      <alignment horizontal="left"/>
    </xf>
    <xf numFmtId="14" fontId="3" fillId="0" borderId="1" xfId="0" applyNumberFormat="1" applyFont="1" applyBorder="1" applyAlignment="1">
      <alignment horizontal="center" vertical="center"/>
    </xf>
    <xf numFmtId="43" fontId="3" fillId="0" borderId="1" xfId="1" applyFont="1" applyBorder="1"/>
    <xf numFmtId="0" fontId="15" fillId="2" borderId="13" xfId="0" applyFont="1" applyFill="1" applyBorder="1" applyAlignment="1">
      <alignment horizontal="center" vertical="center" wrapText="1"/>
    </xf>
    <xf numFmtId="166" fontId="15" fillId="2" borderId="13" xfId="0" applyNumberFormat="1" applyFont="1" applyFill="1" applyBorder="1" applyAlignment="1">
      <alignment horizontal="center" vertical="center" wrapText="1"/>
    </xf>
    <xf numFmtId="165" fontId="15" fillId="2" borderId="13" xfId="0" applyNumberFormat="1" applyFont="1" applyFill="1" applyBorder="1" applyAlignment="1">
      <alignment horizontal="center" vertical="center" wrapText="1"/>
    </xf>
    <xf numFmtId="165" fontId="15" fillId="2" borderId="15" xfId="0" applyNumberFormat="1" applyFont="1" applyFill="1" applyBorder="1" applyAlignment="1">
      <alignment horizontal="center" vertical="center" wrapText="1"/>
    </xf>
    <xf numFmtId="167" fontId="15" fillId="2" borderId="13" xfId="2" applyNumberFormat="1" applyFont="1" applyFill="1" applyBorder="1" applyAlignment="1">
      <alignment horizontal="center" vertical="center" wrapText="1"/>
    </xf>
    <xf numFmtId="168" fontId="15" fillId="2" borderId="13" xfId="2" applyNumberFormat="1" applyFont="1" applyFill="1" applyBorder="1" applyAlignment="1">
      <alignment horizontal="center" vertical="center" wrapText="1"/>
    </xf>
    <xf numFmtId="2" fontId="15" fillId="2" borderId="13" xfId="0" applyNumberFormat="1" applyFont="1" applyFill="1" applyBorder="1" applyAlignment="1">
      <alignment horizontal="center" vertical="center" wrapText="1"/>
    </xf>
    <xf numFmtId="0" fontId="3" fillId="0" borderId="1" xfId="0" applyFont="1" applyBorder="1" applyAlignment="1">
      <alignment wrapText="1"/>
    </xf>
    <xf numFmtId="0" fontId="15" fillId="0" borderId="0" xfId="0" applyFont="1" applyAlignment="1">
      <alignment horizontal="center" vertical="center" wrapText="1"/>
    </xf>
    <xf numFmtId="0" fontId="12" fillId="0" borderId="1" xfId="0" applyFont="1" applyBorder="1"/>
    <xf numFmtId="0" fontId="7" fillId="6" borderId="1" xfId="0" applyFont="1" applyFill="1" applyBorder="1" applyAlignment="1">
      <alignment horizontal="center" vertical="center"/>
    </xf>
    <xf numFmtId="14" fontId="7" fillId="0" borderId="1" xfId="0" applyNumberFormat="1" applyFont="1" applyBorder="1" applyAlignment="1">
      <alignment horizontal="left"/>
    </xf>
    <xf numFmtId="0" fontId="3" fillId="0" borderId="0" xfId="0" applyFont="1" applyAlignment="1">
      <alignment horizontal="center" vertical="center"/>
    </xf>
    <xf numFmtId="43" fontId="7" fillId="0" borderId="1" xfId="1" applyFont="1" applyFill="1" applyBorder="1"/>
    <xf numFmtId="43" fontId="3" fillId="0" borderId="1" xfId="1" applyFont="1" applyFill="1" applyBorder="1" applyAlignment="1">
      <alignment horizontal="left"/>
    </xf>
    <xf numFmtId="43" fontId="7" fillId="0" borderId="1" xfId="1" applyFont="1" applyFill="1" applyBorder="1" applyAlignment="1">
      <alignment horizontal="left"/>
    </xf>
    <xf numFmtId="43" fontId="3" fillId="0" borderId="1" xfId="1" applyFont="1" applyFill="1" applyBorder="1"/>
    <xf numFmtId="0" fontId="3" fillId="0" borderId="1" xfId="0" applyFont="1" applyBorder="1" applyAlignment="1">
      <alignment horizontal="center"/>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7" fillId="0" borderId="8" xfId="0" applyFont="1" applyBorder="1"/>
    <xf numFmtId="0" fontId="7" fillId="0" borderId="8" xfId="0" applyFont="1" applyBorder="1" applyAlignment="1">
      <alignment wrapText="1"/>
    </xf>
    <xf numFmtId="164" fontId="7" fillId="0" borderId="8" xfId="2" applyFont="1" applyFill="1" applyBorder="1" applyAlignment="1">
      <alignment wrapText="1"/>
    </xf>
    <xf numFmtId="164" fontId="3" fillId="0" borderId="8" xfId="2" applyFont="1" applyFill="1" applyBorder="1" applyAlignment="1">
      <alignment horizontal="left"/>
    </xf>
    <xf numFmtId="43" fontId="3" fillId="0" borderId="8" xfId="1" applyFont="1" applyFill="1" applyBorder="1" applyAlignment="1">
      <alignment horizontal="left"/>
    </xf>
    <xf numFmtId="43" fontId="7" fillId="0" borderId="2" xfId="1" applyFont="1" applyFill="1" applyBorder="1"/>
    <xf numFmtId="43" fontId="3" fillId="0" borderId="19" xfId="1" applyFont="1" applyFill="1" applyBorder="1" applyAlignment="1">
      <alignment horizontal="left"/>
    </xf>
    <xf numFmtId="43" fontId="3" fillId="0" borderId="2" xfId="1" applyFont="1" applyFill="1" applyBorder="1" applyAlignment="1">
      <alignment horizontal="left"/>
    </xf>
    <xf numFmtId="43" fontId="7" fillId="0" borderId="2" xfId="1" applyFont="1" applyFill="1" applyBorder="1" applyAlignment="1">
      <alignment horizontal="left"/>
    </xf>
    <xf numFmtId="43" fontId="3" fillId="0" borderId="2" xfId="1" applyFont="1" applyFill="1" applyBorder="1"/>
    <xf numFmtId="0" fontId="3" fillId="3" borderId="1" xfId="0" applyFont="1" applyFill="1" applyBorder="1"/>
    <xf numFmtId="166" fontId="3" fillId="0" borderId="1" xfId="0" applyNumberFormat="1" applyFont="1" applyBorder="1" applyAlignment="1">
      <alignment horizontal="center" vertical="center"/>
    </xf>
    <xf numFmtId="0" fontId="7" fillId="0" borderId="8" xfId="0" applyFont="1" applyBorder="1" applyAlignment="1">
      <alignment horizontal="center" vertical="center"/>
    </xf>
    <xf numFmtId="164" fontId="3" fillId="0" borderId="8" xfId="2" applyFont="1" applyFill="1" applyBorder="1"/>
    <xf numFmtId="168" fontId="7" fillId="0" borderId="8" xfId="0" applyNumberFormat="1" applyFont="1" applyBorder="1" applyAlignment="1">
      <alignment vertical="center"/>
    </xf>
    <xf numFmtId="0" fontId="7" fillId="0" borderId="0" xfId="0" applyFont="1" applyAlignment="1">
      <alignment horizontal="left"/>
    </xf>
    <xf numFmtId="43" fontId="4" fillId="0" borderId="0" xfId="1" applyFont="1" applyFill="1" applyBorder="1"/>
    <xf numFmtId="14" fontId="7" fillId="0" borderId="8" xfId="0" applyNumberFormat="1" applyFont="1" applyBorder="1" applyAlignment="1">
      <alignment horizontal="center" vertical="center"/>
    </xf>
    <xf numFmtId="0" fontId="3" fillId="5" borderId="1" xfId="0" applyFont="1" applyFill="1" applyBorder="1"/>
    <xf numFmtId="168" fontId="7" fillId="0" borderId="3" xfId="0" applyNumberFormat="1" applyFont="1" applyBorder="1" applyAlignment="1">
      <alignment vertical="center"/>
    </xf>
    <xf numFmtId="168" fontId="7" fillId="0" borderId="20" xfId="0" applyNumberFormat="1" applyFont="1" applyBorder="1" applyAlignment="1">
      <alignment vertical="center"/>
    </xf>
    <xf numFmtId="0" fontId="7" fillId="0" borderId="8" xfId="0" applyFont="1" applyBorder="1" applyAlignment="1">
      <alignment horizontal="center"/>
    </xf>
    <xf numFmtId="0" fontId="7" fillId="0" borderId="1" xfId="0" applyFont="1" applyBorder="1" applyAlignment="1">
      <alignment horizontal="center"/>
    </xf>
    <xf numFmtId="166" fontId="3" fillId="8" borderId="1" xfId="0" applyNumberFormat="1" applyFont="1" applyFill="1" applyBorder="1" applyAlignment="1">
      <alignment horizontal="center" vertical="center"/>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166" fontId="5" fillId="2" borderId="13" xfId="0" applyNumberFormat="1" applyFont="1" applyFill="1" applyBorder="1" applyAlignment="1">
      <alignment horizontal="center" vertical="center" wrapText="1"/>
    </xf>
    <xf numFmtId="165" fontId="5" fillId="2" borderId="13" xfId="0" applyNumberFormat="1" applyFont="1" applyFill="1" applyBorder="1" applyAlignment="1">
      <alignment horizontal="center" vertical="center" wrapText="1"/>
    </xf>
    <xf numFmtId="165" fontId="5" fillId="2" borderId="12" xfId="0" applyNumberFormat="1" applyFont="1" applyFill="1" applyBorder="1" applyAlignment="1">
      <alignment horizontal="center" vertical="center" wrapText="1"/>
    </xf>
    <xf numFmtId="165" fontId="5" fillId="2" borderId="15" xfId="0" applyNumberFormat="1" applyFont="1" applyFill="1" applyBorder="1" applyAlignment="1">
      <alignment horizontal="center" vertical="center" wrapText="1"/>
    </xf>
    <xf numFmtId="10" fontId="5" fillId="2" borderId="13" xfId="0" applyNumberFormat="1" applyFont="1" applyFill="1" applyBorder="1" applyAlignment="1">
      <alignment horizontal="center" vertical="center" wrapText="1"/>
    </xf>
    <xf numFmtId="1" fontId="5" fillId="2" borderId="13" xfId="0" applyNumberFormat="1" applyFont="1" applyFill="1" applyBorder="1" applyAlignment="1">
      <alignment horizontal="center" vertical="center" wrapText="1"/>
    </xf>
    <xf numFmtId="167" fontId="5" fillId="2" borderId="13" xfId="2" applyNumberFormat="1" applyFont="1" applyFill="1" applyBorder="1" applyAlignment="1">
      <alignment horizontal="center" vertical="center" wrapText="1"/>
    </xf>
    <xf numFmtId="168" fontId="5" fillId="2" borderId="13" xfId="2" applyNumberFormat="1" applyFont="1" applyFill="1" applyBorder="1" applyAlignment="1">
      <alignment horizontal="center" vertical="center" wrapText="1"/>
    </xf>
    <xf numFmtId="2" fontId="5" fillId="2" borderId="13" xfId="0" applyNumberFormat="1" applyFont="1" applyFill="1" applyBorder="1" applyAlignment="1">
      <alignment horizontal="center" vertical="center" wrapText="1"/>
    </xf>
    <xf numFmtId="164" fontId="5" fillId="2" borderId="13" xfId="2" applyFont="1" applyFill="1" applyBorder="1" applyAlignment="1">
      <alignment horizontal="center" vertical="center"/>
    </xf>
    <xf numFmtId="164" fontId="5" fillId="7" borderId="13" xfId="2" applyFont="1" applyFill="1" applyBorder="1" applyAlignment="1">
      <alignment horizontal="center" vertical="center"/>
    </xf>
    <xf numFmtId="164" fontId="5" fillId="7" borderId="15" xfId="2" applyFont="1" applyFill="1" applyBorder="1" applyAlignment="1">
      <alignment horizontal="center" vertical="center"/>
    </xf>
    <xf numFmtId="43" fontId="4" fillId="7" borderId="1" xfId="1" applyFont="1" applyFill="1" applyBorder="1"/>
    <xf numFmtId="43" fontId="4" fillId="7" borderId="8" xfId="1" applyFont="1" applyFill="1" applyBorder="1"/>
    <xf numFmtId="43" fontId="8" fillId="7" borderId="1" xfId="1" applyFont="1" applyFill="1" applyBorder="1"/>
    <xf numFmtId="165" fontId="5" fillId="2" borderId="1" xfId="0" applyNumberFormat="1" applyFont="1" applyFill="1" applyBorder="1" applyAlignment="1">
      <alignment horizontal="center" vertical="center" wrapText="1"/>
    </xf>
    <xf numFmtId="0" fontId="7" fillId="0" borderId="8" xfId="0" applyFont="1" applyBorder="1" applyAlignment="1">
      <alignment horizontal="center" vertical="center" wrapText="1"/>
    </xf>
    <xf numFmtId="166" fontId="3" fillId="0" borderId="8" xfId="0" applyNumberFormat="1" applyFont="1" applyBorder="1" applyAlignment="1">
      <alignment horizontal="center" vertical="center"/>
    </xf>
    <xf numFmtId="164" fontId="7" fillId="0" borderId="8" xfId="2" applyFont="1" applyFill="1" applyBorder="1"/>
    <xf numFmtId="43" fontId="7" fillId="0" borderId="8" xfId="1" applyFont="1" applyFill="1" applyBorder="1"/>
    <xf numFmtId="43" fontId="7" fillId="0" borderId="19" xfId="1" applyFont="1" applyFill="1" applyBorder="1"/>
    <xf numFmtId="43" fontId="8" fillId="7" borderId="8" xfId="1" applyFont="1" applyFill="1" applyBorder="1"/>
    <xf numFmtId="164" fontId="5" fillId="2" borderId="13" xfId="2" applyFont="1" applyFill="1" applyBorder="1" applyAlignment="1">
      <alignment vertical="center" wrapText="1"/>
    </xf>
    <xf numFmtId="0" fontId="3" fillId="0" borderId="8" xfId="0" applyFont="1" applyBorder="1"/>
    <xf numFmtId="0" fontId="4" fillId="7" borderId="8" xfId="0" applyFont="1" applyFill="1" applyBorder="1"/>
    <xf numFmtId="43" fontId="3" fillId="0" borderId="8" xfId="1" applyFont="1" applyBorder="1"/>
    <xf numFmtId="0" fontId="4" fillId="0" borderId="8" xfId="0" applyFont="1" applyBorder="1"/>
    <xf numFmtId="164" fontId="8" fillId="0" borderId="1" xfId="2" applyFont="1" applyFill="1" applyBorder="1"/>
    <xf numFmtId="1" fontId="3" fillId="0" borderId="1" xfId="0" applyNumberFormat="1" applyFont="1" applyBorder="1" applyAlignment="1">
      <alignment horizontal="center" vertical="center"/>
    </xf>
    <xf numFmtId="164" fontId="4" fillId="0" borderId="1" xfId="2" applyFont="1" applyFill="1" applyBorder="1"/>
    <xf numFmtId="0" fontId="3" fillId="0" borderId="1" xfId="0" applyFont="1" applyBorder="1" applyAlignment="1">
      <alignment vertical="center" wrapText="1"/>
    </xf>
    <xf numFmtId="0" fontId="3" fillId="0" borderId="1" xfId="0" applyFont="1" applyBorder="1" applyAlignment="1">
      <alignment vertical="center"/>
    </xf>
    <xf numFmtId="164" fontId="3" fillId="0" borderId="1" xfId="2" applyFont="1" applyFill="1" applyBorder="1" applyAlignment="1">
      <alignment vertical="center"/>
    </xf>
    <xf numFmtId="0" fontId="3" fillId="0" borderId="0" xfId="0" applyFont="1" applyAlignment="1">
      <alignment vertical="center"/>
    </xf>
    <xf numFmtId="164" fontId="3" fillId="0" borderId="2" xfId="2" applyFont="1" applyFill="1" applyBorder="1"/>
    <xf numFmtId="164" fontId="3" fillId="0" borderId="3" xfId="2" applyFont="1" applyFill="1" applyBorder="1"/>
    <xf numFmtId="0" fontId="3" fillId="0" borderId="8" xfId="0" applyFont="1" applyBorder="1" applyAlignment="1">
      <alignment wrapText="1"/>
    </xf>
    <xf numFmtId="14" fontId="3" fillId="0" borderId="8" xfId="0" applyNumberFormat="1" applyFont="1" applyBorder="1" applyAlignment="1">
      <alignment horizontal="center" vertical="center"/>
    </xf>
    <xf numFmtId="164" fontId="8" fillId="7" borderId="1" xfId="2" applyFont="1" applyFill="1" applyBorder="1"/>
    <xf numFmtId="43" fontId="7" fillId="0" borderId="1" xfId="1" applyFont="1" applyBorder="1"/>
    <xf numFmtId="14" fontId="3" fillId="0" borderId="8" xfId="0" applyNumberFormat="1" applyFont="1" applyBorder="1"/>
    <xf numFmtId="165" fontId="3" fillId="0" borderId="8" xfId="0" applyNumberFormat="1" applyFont="1" applyBorder="1"/>
    <xf numFmtId="14" fontId="3" fillId="0" borderId="1" xfId="0" applyNumberFormat="1" applyFont="1" applyBorder="1"/>
    <xf numFmtId="165" fontId="3" fillId="0" borderId="1" xfId="0" applyNumberFormat="1" applyFont="1" applyBorder="1"/>
    <xf numFmtId="0" fontId="3" fillId="6" borderId="1" xfId="0" applyFont="1" applyFill="1" applyBorder="1" applyAlignment="1">
      <alignment wrapText="1"/>
    </xf>
    <xf numFmtId="0" fontId="3" fillId="6" borderId="1" xfId="0" applyFont="1" applyFill="1" applyBorder="1"/>
    <xf numFmtId="0" fontId="3" fillId="0" borderId="8" xfId="0" applyFont="1" applyBorder="1" applyAlignment="1">
      <alignment horizontal="center" vertical="center"/>
    </xf>
    <xf numFmtId="0" fontId="3" fillId="4" borderId="1" xfId="0" applyFont="1" applyFill="1" applyBorder="1"/>
    <xf numFmtId="43" fontId="3" fillId="0" borderId="1" xfId="3" applyFont="1" applyFill="1" applyBorder="1" applyAlignment="1">
      <alignment vertical="center" wrapText="1"/>
    </xf>
    <xf numFmtId="14" fontId="7" fillId="0" borderId="1" xfId="0" applyNumberFormat="1" applyFont="1" applyBorder="1" applyAlignment="1">
      <alignment horizontal="center" vertical="center" wrapText="1"/>
    </xf>
    <xf numFmtId="43" fontId="3" fillId="7" borderId="8" xfId="1" applyFont="1" applyFill="1" applyBorder="1"/>
    <xf numFmtId="43" fontId="7" fillId="7" borderId="1" xfId="1" applyFont="1" applyFill="1" applyBorder="1"/>
    <xf numFmtId="164" fontId="4" fillId="7" borderId="1" xfId="2" applyFont="1" applyFill="1" applyBorder="1"/>
    <xf numFmtId="0" fontId="4" fillId="7" borderId="19" xfId="0" applyFont="1" applyFill="1" applyBorder="1"/>
    <xf numFmtId="164" fontId="8" fillId="7" borderId="2" xfId="2" applyFont="1" applyFill="1" applyBorder="1"/>
    <xf numFmtId="0" fontId="11" fillId="7" borderId="2" xfId="0" applyFont="1" applyFill="1" applyBorder="1"/>
    <xf numFmtId="0" fontId="4" fillId="7" borderId="2" xfId="0" applyFont="1" applyFill="1" applyBorder="1"/>
    <xf numFmtId="0" fontId="4" fillId="7" borderId="1" xfId="0" applyFont="1" applyFill="1" applyBorder="1"/>
    <xf numFmtId="0" fontId="11" fillId="7" borderId="1" xfId="0" applyFont="1" applyFill="1" applyBorder="1"/>
    <xf numFmtId="0" fontId="4" fillId="7" borderId="4" xfId="0" applyFont="1" applyFill="1" applyBorder="1"/>
    <xf numFmtId="164" fontId="5" fillId="2" borderId="14" xfId="2" applyFont="1" applyFill="1" applyBorder="1" applyAlignment="1">
      <alignment horizontal="center" vertical="center"/>
    </xf>
    <xf numFmtId="0" fontId="4" fillId="0" borderId="0" xfId="0" applyFont="1"/>
    <xf numFmtId="168" fontId="3" fillId="0" borderId="17" xfId="0" applyNumberFormat="1" applyFont="1" applyBorder="1" applyAlignment="1">
      <alignment horizontal="center" vertical="center"/>
    </xf>
    <xf numFmtId="168" fontId="3" fillId="0" borderId="1" xfId="0" applyNumberFormat="1" applyFont="1" applyBorder="1" applyAlignment="1">
      <alignment horizontal="center" vertical="center"/>
    </xf>
    <xf numFmtId="168" fontId="3" fillId="0" borderId="18" xfId="0" applyNumberFormat="1" applyFont="1" applyBorder="1" applyAlignment="1">
      <alignment horizontal="center" vertical="center"/>
    </xf>
    <xf numFmtId="1" fontId="7" fillId="0" borderId="1" xfId="0" applyNumberFormat="1" applyFont="1" applyBorder="1" applyAlignment="1">
      <alignment horizontal="center" vertical="center"/>
    </xf>
    <xf numFmtId="1" fontId="7" fillId="0" borderId="8" xfId="0" applyNumberFormat="1" applyFont="1" applyBorder="1" applyAlignment="1">
      <alignment horizontal="center" vertical="center"/>
    </xf>
    <xf numFmtId="14" fontId="7" fillId="0" borderId="0" xfId="0" applyNumberFormat="1" applyFont="1" applyAlignment="1">
      <alignment horizontal="center" vertical="center"/>
    </xf>
    <xf numFmtId="0" fontId="3" fillId="0" borderId="1" xfId="0" applyFont="1" applyBorder="1" applyAlignment="1">
      <alignment horizontal="center" vertical="center" wrapText="1"/>
    </xf>
    <xf numFmtId="164" fontId="3" fillId="0" borderId="0" xfId="2" applyFont="1" applyBorder="1"/>
    <xf numFmtId="43" fontId="3" fillId="0" borderId="0" xfId="1" applyFont="1" applyBorder="1"/>
    <xf numFmtId="43" fontId="4" fillId="0" borderId="0" xfId="1" applyFont="1" applyBorder="1"/>
    <xf numFmtId="43" fontId="3" fillId="0" borderId="0" xfId="1" applyFont="1" applyFill="1" applyBorder="1"/>
    <xf numFmtId="165" fontId="5" fillId="2" borderId="17" xfId="0" applyNumberFormat="1" applyFont="1" applyFill="1" applyBorder="1" applyAlignment="1">
      <alignment horizontal="center" vertical="center" wrapText="1"/>
    </xf>
    <xf numFmtId="165" fontId="5" fillId="2" borderId="18" xfId="0" applyNumberFormat="1" applyFont="1" applyFill="1" applyBorder="1" applyAlignment="1">
      <alignment horizontal="center" vertical="center" wrapText="1"/>
    </xf>
    <xf numFmtId="164" fontId="7" fillId="0" borderId="17" xfId="2" applyFont="1" applyFill="1" applyBorder="1" applyAlignment="1">
      <alignment vertical="center"/>
    </xf>
    <xf numFmtId="43" fontId="3" fillId="0" borderId="18" xfId="0" applyNumberFormat="1" applyFont="1" applyBorder="1" applyAlignment="1">
      <alignment horizontal="left"/>
    </xf>
    <xf numFmtId="164" fontId="3" fillId="0" borderId="17" xfId="2" applyFont="1" applyFill="1" applyBorder="1" applyAlignment="1">
      <alignment horizontal="left"/>
    </xf>
    <xf numFmtId="43" fontId="0" fillId="0" borderId="17" xfId="1" applyFont="1" applyFill="1" applyBorder="1"/>
    <xf numFmtId="164" fontId="7" fillId="0" borderId="26" xfId="2" applyFont="1" applyFill="1" applyBorder="1" applyAlignment="1">
      <alignment vertical="center"/>
    </xf>
    <xf numFmtId="43" fontId="3" fillId="0" borderId="27" xfId="0" applyNumberFormat="1" applyFont="1" applyBorder="1" applyAlignment="1">
      <alignment horizontal="left"/>
    </xf>
    <xf numFmtId="168" fontId="7" fillId="0" borderId="17" xfId="0" applyNumberFormat="1" applyFont="1" applyBorder="1" applyAlignment="1">
      <alignment vertical="center"/>
    </xf>
    <xf numFmtId="168" fontId="7" fillId="0" borderId="27" xfId="0" applyNumberFormat="1" applyFont="1" applyBorder="1" applyAlignment="1">
      <alignment vertical="center"/>
    </xf>
    <xf numFmtId="168" fontId="7" fillId="0" borderId="18" xfId="0" applyNumberFormat="1" applyFont="1" applyBorder="1" applyAlignment="1">
      <alignment vertical="center"/>
    </xf>
    <xf numFmtId="10" fontId="7" fillId="0" borderId="20" xfId="0" applyNumberFormat="1" applyFont="1" applyBorder="1" applyAlignment="1">
      <alignment horizontal="center" vertical="center"/>
    </xf>
    <xf numFmtId="10" fontId="7" fillId="0" borderId="3" xfId="0" applyNumberFormat="1" applyFont="1" applyBorder="1" applyAlignment="1">
      <alignment horizontal="center" vertical="center"/>
    </xf>
    <xf numFmtId="44" fontId="3" fillId="0" borderId="26" xfId="0" applyNumberFormat="1" applyFont="1" applyBorder="1" applyAlignment="1">
      <alignment horizontal="left"/>
    </xf>
    <xf numFmtId="44" fontId="3" fillId="0" borderId="17" xfId="0" applyNumberFormat="1" applyFont="1" applyBorder="1" applyAlignment="1">
      <alignment horizontal="left"/>
    </xf>
    <xf numFmtId="0" fontId="7" fillId="0" borderId="17" xfId="0" applyFont="1" applyBorder="1" applyAlignment="1">
      <alignment horizontal="right" vertical="center"/>
    </xf>
    <xf numFmtId="165" fontId="3" fillId="0" borderId="17" xfId="0" applyNumberFormat="1" applyFont="1" applyBorder="1" applyAlignment="1">
      <alignment horizontal="center" vertical="center"/>
    </xf>
    <xf numFmtId="164" fontId="5" fillId="2" borderId="16" xfId="2" applyFont="1" applyFill="1" applyBorder="1" applyAlignment="1">
      <alignment horizontal="center" vertical="center"/>
    </xf>
    <xf numFmtId="1" fontId="5" fillId="2" borderId="1" xfId="0" applyNumberFormat="1" applyFont="1" applyFill="1" applyBorder="1" applyAlignment="1">
      <alignment horizontal="center" vertical="center" wrapText="1"/>
    </xf>
    <xf numFmtId="167" fontId="5" fillId="2" borderId="1" xfId="2" applyNumberFormat="1" applyFont="1" applyFill="1" applyBorder="1" applyAlignment="1">
      <alignment horizontal="center" vertical="center" wrapText="1"/>
    </xf>
    <xf numFmtId="168" fontId="5" fillId="2" borderId="1" xfId="2" applyNumberFormat="1" applyFont="1" applyFill="1" applyBorder="1" applyAlignment="1">
      <alignment horizontal="center" vertical="center" wrapText="1"/>
    </xf>
    <xf numFmtId="166" fontId="5" fillId="2" borderId="1" xfId="0" applyNumberFormat="1" applyFont="1" applyFill="1" applyBorder="1" applyAlignment="1">
      <alignment horizontal="center" vertical="center" wrapText="1"/>
    </xf>
    <xf numFmtId="2" fontId="5"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164" fontId="5" fillId="2" borderId="1" xfId="2" applyFont="1" applyFill="1" applyBorder="1" applyAlignment="1">
      <alignment horizontal="center" vertical="center"/>
    </xf>
    <xf numFmtId="10" fontId="3" fillId="0" borderId="3" xfId="0" applyNumberFormat="1" applyFont="1" applyBorder="1" applyAlignment="1">
      <alignment horizontal="center" vertical="center"/>
    </xf>
    <xf numFmtId="0" fontId="3" fillId="0" borderId="17" xfId="0" applyFont="1" applyBorder="1"/>
    <xf numFmtId="0" fontId="3" fillId="0" borderId="3" xfId="0" applyFont="1" applyBorder="1" applyAlignment="1">
      <alignment horizontal="center" vertical="center"/>
    </xf>
    <xf numFmtId="10" fontId="5" fillId="2" borderId="3" xfId="0" applyNumberFormat="1" applyFont="1" applyFill="1" applyBorder="1" applyAlignment="1">
      <alignment horizontal="center" vertical="center" wrapText="1"/>
    </xf>
    <xf numFmtId="164" fontId="6" fillId="2" borderId="13" xfId="2" applyFont="1" applyFill="1" applyBorder="1" applyAlignment="1">
      <alignment horizontal="center" vertical="center"/>
    </xf>
    <xf numFmtId="164" fontId="6" fillId="2" borderId="13" xfId="2" applyFont="1" applyFill="1" applyBorder="1" applyAlignment="1">
      <alignment vertical="center"/>
    </xf>
    <xf numFmtId="164" fontId="5" fillId="7" borderId="13" xfId="2" applyFont="1" applyFill="1" applyBorder="1" applyAlignment="1">
      <alignment vertical="center"/>
    </xf>
    <xf numFmtId="43" fontId="5" fillId="7" borderId="13" xfId="1" applyFont="1" applyFill="1" applyBorder="1" applyAlignment="1">
      <alignment vertical="center"/>
    </xf>
    <xf numFmtId="164" fontId="5" fillId="7" borderId="15" xfId="2" applyFont="1" applyFill="1" applyBorder="1" applyAlignment="1">
      <alignment vertical="center"/>
    </xf>
    <xf numFmtId="43" fontId="3" fillId="0" borderId="17" xfId="1" applyFont="1" applyBorder="1"/>
    <xf numFmtId="43" fontId="3" fillId="0" borderId="18" xfId="1" applyFont="1" applyBorder="1"/>
    <xf numFmtId="43" fontId="3" fillId="0" borderId="25" xfId="1" applyFont="1" applyBorder="1"/>
    <xf numFmtId="164" fontId="7" fillId="0" borderId="17" xfId="2" applyFont="1" applyFill="1" applyBorder="1" applyAlignment="1">
      <alignment horizontal="left" vertical="top"/>
    </xf>
    <xf numFmtId="164" fontId="3" fillId="0" borderId="17" xfId="2" applyFont="1" applyFill="1" applyBorder="1"/>
    <xf numFmtId="166" fontId="7" fillId="0" borderId="2" xfId="0" applyNumberFormat="1" applyFont="1" applyBorder="1" applyAlignment="1">
      <alignment horizontal="center" vertical="center"/>
    </xf>
    <xf numFmtId="165" fontId="5" fillId="2" borderId="22" xfId="0" applyNumberFormat="1" applyFont="1" applyFill="1" applyBorder="1" applyAlignment="1">
      <alignment horizontal="center" vertical="center" wrapText="1"/>
    </xf>
    <xf numFmtId="165" fontId="5" fillId="2" borderId="4" xfId="0" applyNumberFormat="1" applyFont="1" applyFill="1" applyBorder="1" applyAlignment="1">
      <alignment horizontal="center" vertical="center" wrapText="1"/>
    </xf>
    <xf numFmtId="165" fontId="5" fillId="2" borderId="38" xfId="0" applyNumberFormat="1" applyFont="1" applyFill="1" applyBorder="1" applyAlignment="1">
      <alignment horizontal="center" vertical="center" wrapText="1"/>
    </xf>
    <xf numFmtId="10" fontId="5" fillId="2" borderId="39" xfId="0" applyNumberFormat="1" applyFont="1" applyFill="1" applyBorder="1" applyAlignment="1">
      <alignment horizontal="center" vertical="center" wrapText="1"/>
    </xf>
    <xf numFmtId="165" fontId="5" fillId="2" borderId="40" xfId="0" applyNumberFormat="1" applyFont="1" applyFill="1" applyBorder="1" applyAlignment="1">
      <alignment horizontal="center" vertical="center" wrapText="1"/>
    </xf>
    <xf numFmtId="43" fontId="3" fillId="0" borderId="24" xfId="1" applyFont="1" applyBorder="1"/>
    <xf numFmtId="43" fontId="3" fillId="0" borderId="23" xfId="1" applyFont="1" applyBorder="1"/>
    <xf numFmtId="43" fontId="5" fillId="2" borderId="14" xfId="1" applyFont="1" applyFill="1" applyBorder="1" applyAlignment="1">
      <alignment horizontal="center" vertical="center" wrapText="1"/>
    </xf>
    <xf numFmtId="43" fontId="7" fillId="0" borderId="19" xfId="1" applyFont="1" applyFill="1" applyBorder="1" applyAlignment="1">
      <alignment horizontal="right" vertical="center"/>
    </xf>
    <xf numFmtId="43" fontId="3" fillId="0" borderId="2" xfId="1" applyFont="1" applyFill="1" applyBorder="1" applyAlignment="1">
      <alignment horizontal="right" vertical="center"/>
    </xf>
    <xf numFmtId="43" fontId="7" fillId="0" borderId="2" xfId="1" applyFont="1" applyBorder="1" applyAlignment="1">
      <alignment horizontal="right" vertical="center"/>
    </xf>
    <xf numFmtId="43" fontId="7" fillId="0" borderId="2" xfId="1" applyFont="1" applyFill="1" applyBorder="1" applyAlignment="1">
      <alignment horizontal="right" vertical="center"/>
    </xf>
    <xf numFmtId="43" fontId="3" fillId="0" borderId="2" xfId="1" applyFont="1" applyBorder="1" applyAlignment="1">
      <alignment horizontal="right" vertical="center"/>
    </xf>
    <xf numFmtId="43" fontId="7" fillId="0" borderId="2" xfId="1" applyFont="1" applyFill="1" applyBorder="1" applyAlignment="1">
      <alignment horizontal="right" vertical="center" wrapText="1"/>
    </xf>
    <xf numFmtId="43" fontId="7" fillId="0" borderId="2" xfId="1" applyFont="1" applyFill="1" applyBorder="1" applyAlignment="1">
      <alignment horizontal="center" vertical="center" wrapText="1"/>
    </xf>
    <xf numFmtId="43" fontId="3" fillId="0" borderId="0" xfId="1" applyFont="1" applyAlignment="1">
      <alignment horizontal="center" vertical="center"/>
    </xf>
    <xf numFmtId="14" fontId="3" fillId="3" borderId="1" xfId="0" applyNumberFormat="1" applyFont="1" applyFill="1" applyBorder="1" applyAlignment="1">
      <alignment horizontal="center" vertical="center"/>
    </xf>
    <xf numFmtId="14" fontId="7" fillId="3" borderId="1" xfId="0" applyNumberFormat="1" applyFont="1" applyFill="1" applyBorder="1" applyAlignment="1">
      <alignment horizontal="center" vertical="center"/>
    </xf>
    <xf numFmtId="43" fontId="7" fillId="3" borderId="2" xfId="1" applyFont="1" applyFill="1" applyBorder="1" applyAlignment="1">
      <alignment horizontal="right" vertical="center"/>
    </xf>
    <xf numFmtId="0" fontId="7" fillId="3" borderId="1" xfId="0" applyFont="1" applyFill="1" applyBorder="1" applyAlignment="1">
      <alignment horizontal="left"/>
    </xf>
    <xf numFmtId="165" fontId="5" fillId="2" borderId="14" xfId="0" applyNumberFormat="1" applyFont="1" applyFill="1" applyBorder="1" applyAlignment="1">
      <alignment horizontal="center" vertical="center" wrapText="1"/>
    </xf>
    <xf numFmtId="168" fontId="3" fillId="0" borderId="2" xfId="0" applyNumberFormat="1" applyFont="1" applyBorder="1" applyAlignment="1">
      <alignment horizontal="center" vertical="center"/>
    </xf>
    <xf numFmtId="165" fontId="5" fillId="2" borderId="44" xfId="0" applyNumberFormat="1" applyFont="1" applyFill="1" applyBorder="1" applyAlignment="1">
      <alignment horizontal="center" vertical="center" wrapText="1"/>
    </xf>
    <xf numFmtId="165" fontId="5" fillId="2" borderId="45" xfId="0" applyNumberFormat="1" applyFont="1" applyFill="1" applyBorder="1" applyAlignment="1">
      <alignment horizontal="center" vertical="center" wrapText="1"/>
    </xf>
    <xf numFmtId="165" fontId="5" fillId="2" borderId="46" xfId="0" applyNumberFormat="1" applyFont="1" applyFill="1" applyBorder="1" applyAlignment="1">
      <alignment horizontal="center" vertical="center" wrapText="1"/>
    </xf>
    <xf numFmtId="164" fontId="4" fillId="7" borderId="2" xfId="2" applyFont="1" applyFill="1" applyBorder="1"/>
    <xf numFmtId="164" fontId="5" fillId="2" borderId="29" xfId="2" applyFont="1" applyFill="1" applyBorder="1" applyAlignment="1">
      <alignment horizontal="center" vertical="center"/>
    </xf>
    <xf numFmtId="164" fontId="3" fillId="0" borderId="0" xfId="2" applyFont="1" applyFill="1" applyBorder="1"/>
    <xf numFmtId="164" fontId="4" fillId="0" borderId="0" xfId="2" applyFont="1" applyFill="1" applyBorder="1"/>
    <xf numFmtId="168" fontId="7" fillId="0" borderId="19" xfId="0" applyNumberFormat="1" applyFont="1" applyBorder="1" applyAlignment="1">
      <alignment vertical="center"/>
    </xf>
    <xf numFmtId="168" fontId="7" fillId="0" borderId="2" xfId="0" applyNumberFormat="1" applyFont="1" applyBorder="1" applyAlignment="1">
      <alignment vertical="center"/>
    </xf>
    <xf numFmtId="165" fontId="5" fillId="2" borderId="28" xfId="0" applyNumberFormat="1" applyFont="1" applyFill="1" applyBorder="1" applyAlignment="1">
      <alignment horizontal="center" vertical="center" wrapText="1"/>
    </xf>
    <xf numFmtId="165" fontId="5" fillId="2" borderId="29" xfId="0" applyNumberFormat="1" applyFont="1" applyFill="1" applyBorder="1" applyAlignment="1">
      <alignment horizontal="center" vertical="center" wrapText="1"/>
    </xf>
    <xf numFmtId="165" fontId="5" fillId="2" borderId="30" xfId="0" applyNumberFormat="1" applyFont="1" applyFill="1" applyBorder="1" applyAlignment="1">
      <alignment horizontal="center" vertical="center" wrapText="1"/>
    </xf>
    <xf numFmtId="43" fontId="7" fillId="0" borderId="3" xfId="1" applyFont="1" applyFill="1" applyBorder="1"/>
    <xf numFmtId="164" fontId="7" fillId="0" borderId="1" xfId="2" applyFont="1" applyFill="1" applyBorder="1" applyAlignment="1">
      <alignment vertical="center"/>
    </xf>
    <xf numFmtId="43" fontId="3" fillId="0" borderId="1" xfId="0" applyNumberFormat="1" applyFont="1" applyBorder="1" applyAlignment="1">
      <alignment horizontal="left"/>
    </xf>
    <xf numFmtId="10" fontId="7" fillId="0" borderId="1" xfId="0" applyNumberFormat="1" applyFont="1" applyBorder="1" applyAlignment="1">
      <alignment horizontal="center" vertical="center"/>
    </xf>
    <xf numFmtId="43" fontId="7" fillId="0" borderId="1" xfId="1" applyFont="1" applyFill="1" applyBorder="1" applyAlignment="1">
      <alignment horizontal="right" vertical="center"/>
    </xf>
    <xf numFmtId="43" fontId="7" fillId="0" borderId="1" xfId="1" applyFont="1" applyBorder="1" applyAlignment="1">
      <alignment horizontal="right" vertical="center"/>
    </xf>
    <xf numFmtId="0" fontId="7" fillId="7" borderId="1" xfId="0" applyFont="1" applyFill="1" applyBorder="1"/>
    <xf numFmtId="43" fontId="5" fillId="2" borderId="29" xfId="1" applyFont="1" applyFill="1" applyBorder="1" applyAlignment="1">
      <alignment horizontal="center" vertical="center"/>
    </xf>
    <xf numFmtId="43" fontId="3" fillId="0" borderId="1" xfId="1" applyFont="1" applyBorder="1" applyAlignment="1">
      <alignment horizontal="left"/>
    </xf>
    <xf numFmtId="43" fontId="7" fillId="0" borderId="1" xfId="1" applyFont="1" applyBorder="1" applyAlignment="1">
      <alignment horizontal="left"/>
    </xf>
    <xf numFmtId="43" fontId="12" fillId="0" borderId="1" xfId="1" applyFont="1" applyFill="1" applyBorder="1"/>
    <xf numFmtId="43" fontId="3" fillId="0" borderId="0" xfId="1" applyFont="1"/>
    <xf numFmtId="165" fontId="3" fillId="0" borderId="0" xfId="0" applyNumberFormat="1" applyFont="1"/>
    <xf numFmtId="164" fontId="3" fillId="0" borderId="0" xfId="2" applyFont="1" applyFill="1"/>
    <xf numFmtId="43" fontId="3" fillId="0" borderId="43" xfId="1" applyFont="1" applyBorder="1"/>
    <xf numFmtId="43" fontId="3" fillId="0" borderId="2" xfId="1" applyFont="1" applyBorder="1"/>
    <xf numFmtId="164" fontId="6" fillId="2" borderId="29" xfId="2" applyFont="1" applyFill="1" applyBorder="1" applyAlignment="1">
      <alignment horizontal="center" vertical="center"/>
    </xf>
    <xf numFmtId="164" fontId="6" fillId="2" borderId="29" xfId="2" applyFont="1" applyFill="1" applyBorder="1" applyAlignment="1">
      <alignment vertical="center"/>
    </xf>
    <xf numFmtId="0" fontId="3" fillId="3" borderId="1" xfId="0" applyFont="1" applyFill="1" applyBorder="1" applyAlignment="1">
      <alignment horizontal="center" vertical="center"/>
    </xf>
    <xf numFmtId="0" fontId="7" fillId="3" borderId="1" xfId="0" applyFont="1" applyFill="1" applyBorder="1"/>
    <xf numFmtId="43" fontId="3" fillId="3" borderId="2" xfId="1" applyFont="1" applyFill="1" applyBorder="1" applyAlignment="1">
      <alignment horizontal="right" vertical="center"/>
    </xf>
    <xf numFmtId="43" fontId="3" fillId="0" borderId="17" xfId="1" applyFont="1" applyFill="1" applyBorder="1"/>
    <xf numFmtId="43" fontId="4" fillId="0" borderId="1" xfId="1" applyFont="1" applyFill="1" applyBorder="1"/>
    <xf numFmtId="165" fontId="3" fillId="0" borderId="1" xfId="0" applyNumberFormat="1" applyFont="1" applyBorder="1" applyAlignment="1">
      <alignment horizontal="center" vertical="center"/>
    </xf>
    <xf numFmtId="43" fontId="3" fillId="0" borderId="44" xfId="1" applyFont="1" applyFill="1" applyBorder="1"/>
    <xf numFmtId="43" fontId="3" fillId="0" borderId="31" xfId="1" applyFont="1" applyFill="1" applyBorder="1"/>
    <xf numFmtId="168" fontId="7" fillId="5" borderId="1" xfId="0" applyNumberFormat="1" applyFont="1" applyFill="1" applyBorder="1" applyAlignment="1">
      <alignment vertical="center"/>
    </xf>
    <xf numFmtId="43" fontId="7" fillId="4" borderId="1" xfId="1" applyFont="1" applyFill="1" applyBorder="1" applyAlignment="1">
      <alignment horizontal="right" vertical="center"/>
    </xf>
    <xf numFmtId="164" fontId="7" fillId="4" borderId="1" xfId="2" applyFont="1" applyFill="1" applyBorder="1"/>
    <xf numFmtId="168" fontId="7" fillId="4" borderId="1" xfId="0" applyNumberFormat="1" applyFont="1" applyFill="1" applyBorder="1" applyAlignment="1">
      <alignment vertical="center"/>
    </xf>
    <xf numFmtId="43" fontId="3" fillId="4" borderId="1" xfId="0" applyNumberFormat="1" applyFont="1" applyFill="1" applyBorder="1" applyAlignment="1">
      <alignment horizontal="left"/>
    </xf>
    <xf numFmtId="44" fontId="3" fillId="4" borderId="1" xfId="0" applyNumberFormat="1" applyFont="1" applyFill="1" applyBorder="1" applyAlignment="1">
      <alignment horizontal="left"/>
    </xf>
    <xf numFmtId="43" fontId="10" fillId="4" borderId="2" xfId="1" applyFont="1" applyFill="1" applyBorder="1" applyAlignment="1">
      <alignment horizontal="right" vertical="center"/>
    </xf>
    <xf numFmtId="43" fontId="3" fillId="4" borderId="18" xfId="0" applyNumberFormat="1" applyFont="1" applyFill="1" applyBorder="1" applyAlignment="1">
      <alignment horizontal="left"/>
    </xf>
    <xf numFmtId="168" fontId="7" fillId="4" borderId="17" xfId="0" applyNumberFormat="1" applyFont="1" applyFill="1" applyBorder="1" applyAlignment="1">
      <alignment vertical="center"/>
    </xf>
    <xf numFmtId="168" fontId="7" fillId="4" borderId="3" xfId="0" applyNumberFormat="1" applyFont="1" applyFill="1" applyBorder="1" applyAlignment="1">
      <alignment vertical="center"/>
    </xf>
    <xf numFmtId="168" fontId="7" fillId="4" borderId="18" xfId="0" applyNumberFormat="1" applyFont="1" applyFill="1" applyBorder="1" applyAlignment="1">
      <alignment vertical="center"/>
    </xf>
    <xf numFmtId="44" fontId="3" fillId="4" borderId="17" xfId="0" applyNumberFormat="1" applyFont="1" applyFill="1" applyBorder="1" applyAlignment="1">
      <alignment horizontal="left"/>
    </xf>
    <xf numFmtId="168" fontId="7" fillId="4" borderId="2" xfId="0" applyNumberFormat="1" applyFont="1" applyFill="1" applyBorder="1" applyAlignment="1">
      <alignment vertical="center"/>
    </xf>
    <xf numFmtId="168" fontId="3" fillId="5" borderId="17" xfId="0" applyNumberFormat="1" applyFont="1" applyFill="1" applyBorder="1" applyAlignment="1">
      <alignment horizontal="center" vertical="center"/>
    </xf>
    <xf numFmtId="43" fontId="3" fillId="3" borderId="1" xfId="1" applyFont="1" applyFill="1" applyBorder="1" applyAlignment="1">
      <alignment horizontal="right" vertical="center"/>
    </xf>
    <xf numFmtId="43" fontId="3" fillId="4" borderId="2" xfId="1" applyFont="1" applyFill="1" applyBorder="1" applyAlignment="1">
      <alignment horizontal="right" vertical="center"/>
    </xf>
    <xf numFmtId="168" fontId="3" fillId="4" borderId="17" xfId="0" applyNumberFormat="1" applyFont="1" applyFill="1" applyBorder="1" applyAlignment="1">
      <alignment horizontal="center" vertical="center"/>
    </xf>
    <xf numFmtId="168" fontId="3" fillId="4" borderId="1" xfId="0" applyNumberFormat="1" applyFont="1" applyFill="1" applyBorder="1" applyAlignment="1">
      <alignment horizontal="center" vertical="center"/>
    </xf>
    <xf numFmtId="168" fontId="3" fillId="4" borderId="18" xfId="0" applyNumberFormat="1" applyFont="1" applyFill="1" applyBorder="1" applyAlignment="1">
      <alignment horizontal="center" vertical="center"/>
    </xf>
    <xf numFmtId="168" fontId="3" fillId="4" borderId="2" xfId="0" applyNumberFormat="1" applyFont="1" applyFill="1" applyBorder="1" applyAlignment="1">
      <alignment horizontal="center" vertical="center"/>
    </xf>
    <xf numFmtId="166" fontId="7" fillId="3" borderId="1" xfId="0" applyNumberFormat="1" applyFont="1" applyFill="1" applyBorder="1" applyAlignment="1">
      <alignment horizontal="center" vertical="center"/>
    </xf>
    <xf numFmtId="166" fontId="7" fillId="3" borderId="8" xfId="0" applyNumberFormat="1" applyFont="1" applyFill="1" applyBorder="1" applyAlignment="1">
      <alignment horizontal="center" vertical="center"/>
    </xf>
    <xf numFmtId="43" fontId="9" fillId="3" borderId="2" xfId="1" applyFont="1" applyFill="1" applyBorder="1" applyAlignment="1">
      <alignment horizontal="right" vertical="center"/>
    </xf>
    <xf numFmtId="43" fontId="9" fillId="3" borderId="1" xfId="1" applyFont="1" applyFill="1" applyBorder="1" applyAlignment="1">
      <alignment horizontal="right" vertical="center"/>
    </xf>
    <xf numFmtId="166" fontId="3" fillId="3" borderId="1" xfId="0" applyNumberFormat="1" applyFont="1" applyFill="1" applyBorder="1" applyAlignment="1">
      <alignment horizontal="center" vertical="center"/>
    </xf>
    <xf numFmtId="43" fontId="7" fillId="3" borderId="1" xfId="1" applyFont="1" applyFill="1" applyBorder="1" applyAlignment="1">
      <alignment horizontal="right" vertical="center"/>
    </xf>
    <xf numFmtId="43" fontId="7" fillId="3" borderId="2" xfId="1" applyFont="1" applyFill="1" applyBorder="1" applyAlignment="1">
      <alignment horizontal="right" vertical="center" wrapText="1"/>
    </xf>
    <xf numFmtId="43" fontId="3" fillId="3" borderId="19" xfId="1" applyFont="1" applyFill="1" applyBorder="1" applyAlignment="1">
      <alignment horizontal="right" vertical="center"/>
    </xf>
    <xf numFmtId="0" fontId="3" fillId="9" borderId="1" xfId="0" applyFont="1" applyFill="1" applyBorder="1"/>
    <xf numFmtId="43" fontId="7" fillId="3" borderId="1" xfId="1" applyFont="1" applyFill="1" applyBorder="1" applyAlignment="1">
      <alignment horizontal="right" vertical="center" wrapText="1"/>
    </xf>
    <xf numFmtId="0" fontId="7" fillId="3" borderId="8" xfId="0" applyFont="1" applyFill="1" applyBorder="1"/>
    <xf numFmtId="0" fontId="7" fillId="3" borderId="1" xfId="0" applyFont="1" applyFill="1" applyBorder="1" applyAlignment="1">
      <alignment wrapText="1"/>
    </xf>
    <xf numFmtId="43" fontId="3" fillId="0" borderId="45" xfId="1" applyFont="1" applyFill="1" applyBorder="1"/>
    <xf numFmtId="43" fontId="3" fillId="0" borderId="46" xfId="1" applyFont="1" applyFill="1" applyBorder="1"/>
    <xf numFmtId="43" fontId="3" fillId="0" borderId="1" xfId="1" applyFont="1" applyFill="1" applyBorder="1" applyAlignment="1">
      <alignment vertical="center"/>
    </xf>
    <xf numFmtId="43" fontId="3" fillId="0" borderId="0" xfId="1" applyFont="1" applyFill="1"/>
    <xf numFmtId="43" fontId="3" fillId="2" borderId="1" xfId="1" applyFont="1" applyFill="1" applyBorder="1"/>
    <xf numFmtId="43" fontId="3" fillId="5" borderId="1" xfId="1" applyFont="1" applyFill="1" applyBorder="1"/>
    <xf numFmtId="0" fontId="7" fillId="6" borderId="1" xfId="0" applyFont="1" applyFill="1" applyBorder="1"/>
    <xf numFmtId="43" fontId="7" fillId="10" borderId="1" xfId="1" applyFont="1" applyFill="1" applyBorder="1"/>
    <xf numFmtId="43" fontId="3" fillId="6" borderId="1" xfId="1" applyFont="1" applyFill="1" applyBorder="1"/>
    <xf numFmtId="43" fontId="7" fillId="9" borderId="1" xfId="1" applyFont="1" applyFill="1" applyBorder="1"/>
    <xf numFmtId="164" fontId="7" fillId="9" borderId="1" xfId="2" applyFont="1" applyFill="1" applyBorder="1"/>
    <xf numFmtId="43" fontId="3" fillId="9" borderId="1" xfId="1" applyFont="1" applyFill="1" applyBorder="1"/>
    <xf numFmtId="43" fontId="3" fillId="3" borderId="1" xfId="1" applyFont="1" applyFill="1" applyBorder="1" applyAlignment="1">
      <alignment horizontal="left"/>
    </xf>
    <xf numFmtId="43" fontId="7" fillId="3" borderId="1" xfId="1" applyFont="1" applyFill="1" applyBorder="1"/>
    <xf numFmtId="43" fontId="7" fillId="9" borderId="2" xfId="1" applyFont="1" applyFill="1" applyBorder="1"/>
    <xf numFmtId="43" fontId="3" fillId="9" borderId="0" xfId="1" applyFont="1" applyFill="1"/>
    <xf numFmtId="164" fontId="7" fillId="9" borderId="1" xfId="2" applyFont="1" applyFill="1" applyBorder="1" applyAlignment="1">
      <alignment wrapText="1"/>
    </xf>
    <xf numFmtId="43" fontId="7" fillId="5" borderId="1" xfId="1" applyFont="1" applyFill="1" applyBorder="1"/>
    <xf numFmtId="164" fontId="3" fillId="0" borderId="17" xfId="2" applyFont="1" applyFill="1" applyBorder="1" applyAlignment="1">
      <alignment horizontal="right"/>
    </xf>
    <xf numFmtId="0" fontId="7" fillId="6" borderId="1" xfId="0" applyFont="1" applyFill="1" applyBorder="1" applyAlignment="1">
      <alignment horizontal="center" vertical="center" wrapText="1"/>
    </xf>
    <xf numFmtId="166" fontId="7" fillId="6" borderId="1" xfId="0" applyNumberFormat="1" applyFont="1" applyFill="1" applyBorder="1" applyAlignment="1">
      <alignment horizontal="center" vertical="center"/>
    </xf>
    <xf numFmtId="166" fontId="3" fillId="6" borderId="1" xfId="0" applyNumberFormat="1" applyFont="1" applyFill="1" applyBorder="1" applyAlignment="1">
      <alignment horizontal="center" vertical="center"/>
    </xf>
    <xf numFmtId="43" fontId="3" fillId="6" borderId="2" xfId="1" applyFont="1" applyFill="1" applyBorder="1" applyAlignment="1">
      <alignment horizontal="right" vertical="center"/>
    </xf>
    <xf numFmtId="164" fontId="7" fillId="6" borderId="17" xfId="2" applyFont="1" applyFill="1" applyBorder="1" applyAlignment="1">
      <alignment vertical="center"/>
    </xf>
    <xf numFmtId="168" fontId="7" fillId="6" borderId="1" xfId="0" applyNumberFormat="1" applyFont="1" applyFill="1" applyBorder="1" applyAlignment="1">
      <alignment vertical="center"/>
    </xf>
    <xf numFmtId="43" fontId="3" fillId="6" borderId="18" xfId="0" applyNumberFormat="1" applyFont="1" applyFill="1" applyBorder="1" applyAlignment="1">
      <alignment horizontal="left"/>
    </xf>
    <xf numFmtId="168" fontId="7" fillId="6" borderId="17" xfId="0" applyNumberFormat="1" applyFont="1" applyFill="1" applyBorder="1" applyAlignment="1">
      <alignment vertical="center"/>
    </xf>
    <xf numFmtId="168" fontId="7" fillId="6" borderId="3" xfId="0" applyNumberFormat="1" applyFont="1" applyFill="1" applyBorder="1" applyAlignment="1">
      <alignment vertical="center"/>
    </xf>
    <xf numFmtId="168" fontId="7" fillId="6" borderId="18" xfId="0" applyNumberFormat="1" applyFont="1" applyFill="1" applyBorder="1" applyAlignment="1">
      <alignment vertical="center"/>
    </xf>
    <xf numFmtId="44" fontId="3" fillId="6" borderId="17" xfId="0" applyNumberFormat="1" applyFont="1" applyFill="1" applyBorder="1" applyAlignment="1">
      <alignment horizontal="left"/>
    </xf>
    <xf numFmtId="168" fontId="7" fillId="6" borderId="2" xfId="0" applyNumberFormat="1" applyFont="1" applyFill="1" applyBorder="1" applyAlignment="1">
      <alignment vertical="center"/>
    </xf>
    <xf numFmtId="10" fontId="7" fillId="6" borderId="3" xfId="0" applyNumberFormat="1" applyFont="1" applyFill="1" applyBorder="1" applyAlignment="1">
      <alignment horizontal="center" vertical="center"/>
    </xf>
    <xf numFmtId="0" fontId="7" fillId="6" borderId="1" xfId="0" applyFont="1" applyFill="1" applyBorder="1" applyAlignment="1">
      <alignment horizontal="center"/>
    </xf>
    <xf numFmtId="164" fontId="7" fillId="6" borderId="1" xfId="2" applyFont="1" applyFill="1" applyBorder="1" applyAlignment="1">
      <alignment wrapText="1"/>
    </xf>
    <xf numFmtId="43" fontId="4" fillId="6" borderId="1" xfId="1" applyFont="1" applyFill="1" applyBorder="1"/>
    <xf numFmtId="164" fontId="7" fillId="6" borderId="1" xfId="2" applyFont="1" applyFill="1" applyBorder="1"/>
    <xf numFmtId="43" fontId="7" fillId="6" borderId="1" xfId="1" applyFont="1" applyFill="1" applyBorder="1"/>
    <xf numFmtId="43" fontId="7" fillId="6" borderId="2" xfId="1" applyFont="1" applyFill="1" applyBorder="1"/>
    <xf numFmtId="43" fontId="8" fillId="6" borderId="1" xfId="1" applyFont="1" applyFill="1" applyBorder="1"/>
    <xf numFmtId="0" fontId="7" fillId="6" borderId="0" xfId="0" applyFont="1" applyFill="1"/>
    <xf numFmtId="43" fontId="7" fillId="6" borderId="2" xfId="1" applyFont="1" applyFill="1" applyBorder="1" applyAlignment="1">
      <alignment horizontal="right" vertical="center"/>
    </xf>
    <xf numFmtId="43" fontId="3" fillId="6" borderId="0" xfId="1" applyFont="1" applyFill="1"/>
    <xf numFmtId="43" fontId="7" fillId="6" borderId="2" xfId="1" applyFont="1" applyFill="1" applyBorder="1" applyAlignment="1">
      <alignment horizontal="right" vertical="center" wrapText="1"/>
    </xf>
    <xf numFmtId="0" fontId="7" fillId="6" borderId="1" xfId="0" applyFont="1" applyFill="1" applyBorder="1" applyAlignment="1">
      <alignment horizontal="left"/>
    </xf>
    <xf numFmtId="14" fontId="7" fillId="6" borderId="1" xfId="0" applyNumberFormat="1" applyFont="1" applyFill="1" applyBorder="1" applyAlignment="1">
      <alignment horizontal="center" vertical="center"/>
    </xf>
    <xf numFmtId="164" fontId="3" fillId="6" borderId="17" xfId="2" applyFont="1" applyFill="1" applyBorder="1" applyAlignment="1">
      <alignment horizontal="left"/>
    </xf>
    <xf numFmtId="164" fontId="3" fillId="6" borderId="1" xfId="2" applyFont="1" applyFill="1" applyBorder="1" applyAlignment="1">
      <alignment horizontal="left"/>
    </xf>
    <xf numFmtId="43" fontId="3" fillId="6" borderId="1" xfId="1" applyFont="1" applyFill="1" applyBorder="1" applyAlignment="1">
      <alignment horizontal="left"/>
    </xf>
    <xf numFmtId="43" fontId="3" fillId="6" borderId="2" xfId="1" applyFont="1" applyFill="1" applyBorder="1" applyAlignment="1">
      <alignment horizontal="left"/>
    </xf>
    <xf numFmtId="43" fontId="3" fillId="8" borderId="1" xfId="1" applyFont="1" applyFill="1" applyBorder="1" applyAlignment="1">
      <alignment horizontal="left"/>
    </xf>
    <xf numFmtId="43" fontId="3" fillId="8" borderId="1" xfId="1" applyFont="1" applyFill="1" applyBorder="1"/>
    <xf numFmtId="43" fontId="7" fillId="8" borderId="1" xfId="1" applyFont="1" applyFill="1" applyBorder="1"/>
    <xf numFmtId="43" fontId="7" fillId="8" borderId="0" xfId="1" applyFont="1" applyFill="1"/>
    <xf numFmtId="0" fontId="3" fillId="8" borderId="1" xfId="0" applyFont="1" applyFill="1" applyBorder="1"/>
    <xf numFmtId="0" fontId="3" fillId="8" borderId="8" xfId="0" applyFont="1" applyFill="1" applyBorder="1"/>
    <xf numFmtId="0" fontId="3" fillId="8" borderId="1" xfId="0" applyFont="1" applyFill="1" applyBorder="1" applyAlignment="1">
      <alignment vertical="center"/>
    </xf>
    <xf numFmtId="0" fontId="7" fillId="8" borderId="1" xfId="0" applyFont="1" applyFill="1" applyBorder="1" applyAlignment="1">
      <alignment horizontal="center" vertical="center"/>
    </xf>
    <xf numFmtId="0" fontId="3" fillId="8" borderId="1" xfId="0" applyFont="1" applyFill="1" applyBorder="1" applyAlignment="1">
      <alignment horizontal="center" vertical="center"/>
    </xf>
    <xf numFmtId="165" fontId="3" fillId="3" borderId="2" xfId="0" applyNumberFormat="1" applyFont="1" applyFill="1" applyBorder="1" applyAlignment="1">
      <alignment horizontal="center" vertical="center"/>
    </xf>
    <xf numFmtId="164" fontId="3" fillId="6" borderId="1" xfId="2" applyFont="1" applyFill="1" applyBorder="1"/>
    <xf numFmtId="164" fontId="4" fillId="6" borderId="1" xfId="2" applyFont="1" applyFill="1" applyBorder="1"/>
    <xf numFmtId="0" fontId="3" fillId="6" borderId="0" xfId="0" applyFont="1" applyFill="1"/>
    <xf numFmtId="14" fontId="3" fillId="6" borderId="1" xfId="0" applyNumberFormat="1" applyFont="1" applyFill="1" applyBorder="1" applyAlignment="1">
      <alignment horizontal="center" vertical="center"/>
    </xf>
    <xf numFmtId="0" fontId="3" fillId="6" borderId="1" xfId="0" applyFont="1" applyFill="1" applyBorder="1" applyAlignment="1">
      <alignment vertical="center"/>
    </xf>
    <xf numFmtId="165" fontId="3" fillId="6" borderId="2" xfId="0" applyNumberFormat="1" applyFont="1" applyFill="1" applyBorder="1" applyAlignment="1">
      <alignment horizontal="center" vertical="center"/>
    </xf>
    <xf numFmtId="43" fontId="3" fillId="6" borderId="24" xfId="1" applyFont="1" applyFill="1" applyBorder="1"/>
    <xf numFmtId="43" fontId="3" fillId="6" borderId="25" xfId="1" applyFont="1" applyFill="1" applyBorder="1"/>
    <xf numFmtId="43" fontId="3" fillId="6" borderId="23" xfId="1" applyFont="1" applyFill="1" applyBorder="1"/>
    <xf numFmtId="43" fontId="3" fillId="6" borderId="43" xfId="1" applyFont="1" applyFill="1" applyBorder="1"/>
    <xf numFmtId="165" fontId="3" fillId="6" borderId="1" xfId="0" applyNumberFormat="1" applyFont="1" applyFill="1" applyBorder="1"/>
    <xf numFmtId="0" fontId="7" fillId="6" borderId="1" xfId="0" applyFont="1" applyFill="1" applyBorder="1" applyAlignment="1">
      <alignment wrapText="1"/>
    </xf>
    <xf numFmtId="168" fontId="7" fillId="8" borderId="2" xfId="2" applyNumberFormat="1" applyFont="1" applyFill="1" applyBorder="1" applyAlignment="1">
      <alignment horizontal="center" vertical="center"/>
    </xf>
    <xf numFmtId="165" fontId="3" fillId="8" borderId="1" xfId="0" applyNumberFormat="1" applyFont="1" applyFill="1" applyBorder="1" applyAlignment="1">
      <alignment horizontal="center" vertical="center"/>
    </xf>
    <xf numFmtId="43" fontId="3" fillId="8" borderId="24" xfId="1" applyFont="1" applyFill="1" applyBorder="1"/>
    <xf numFmtId="43" fontId="3" fillId="8" borderId="25" xfId="1" applyFont="1" applyFill="1" applyBorder="1"/>
    <xf numFmtId="43" fontId="3" fillId="8" borderId="23" xfId="1" applyFont="1" applyFill="1" applyBorder="1"/>
    <xf numFmtId="43" fontId="3" fillId="8" borderId="43" xfId="1" applyFont="1" applyFill="1" applyBorder="1"/>
    <xf numFmtId="165" fontId="3" fillId="8" borderId="1" xfId="0" applyNumberFormat="1" applyFont="1" applyFill="1" applyBorder="1"/>
    <xf numFmtId="10" fontId="7" fillId="8" borderId="3" xfId="0" applyNumberFormat="1" applyFont="1" applyFill="1" applyBorder="1" applyAlignment="1">
      <alignment horizontal="center" vertical="center"/>
    </xf>
    <xf numFmtId="164" fontId="3" fillId="8" borderId="1" xfId="2" applyFont="1" applyFill="1" applyBorder="1"/>
    <xf numFmtId="164" fontId="4" fillId="8" borderId="1" xfId="2" applyFont="1" applyFill="1" applyBorder="1"/>
    <xf numFmtId="0" fontId="3" fillId="8" borderId="0" xfId="0" applyFont="1" applyFill="1"/>
    <xf numFmtId="0" fontId="7" fillId="8" borderId="1" xfId="0" applyFont="1" applyFill="1" applyBorder="1"/>
    <xf numFmtId="2" fontId="4" fillId="0" borderId="0" xfId="0" applyNumberFormat="1" applyFont="1" applyAlignment="1">
      <alignment horizontal="center" vertical="center"/>
    </xf>
    <xf numFmtId="168" fontId="3" fillId="0" borderId="48" xfId="0" applyNumberFormat="1" applyFont="1" applyBorder="1" applyAlignment="1">
      <alignment horizontal="center" vertical="center"/>
    </xf>
    <xf numFmtId="0" fontId="3" fillId="2" borderId="0" xfId="0" applyFont="1" applyFill="1"/>
    <xf numFmtId="43" fontId="7" fillId="0" borderId="2" xfId="1" applyFont="1" applyBorder="1"/>
    <xf numFmtId="43" fontId="3" fillId="0" borderId="49" xfId="1" applyFont="1" applyFill="1" applyBorder="1"/>
    <xf numFmtId="0" fontId="3" fillId="0" borderId="2" xfId="0" applyFont="1" applyBorder="1"/>
    <xf numFmtId="164" fontId="5" fillId="7" borderId="40" xfId="2" applyFont="1" applyFill="1" applyBorder="1" applyAlignment="1">
      <alignment vertical="center"/>
    </xf>
    <xf numFmtId="0" fontId="3" fillId="6" borderId="2" xfId="0" applyFont="1" applyFill="1" applyBorder="1"/>
    <xf numFmtId="0" fontId="3" fillId="8" borderId="2" xfId="0" applyFont="1" applyFill="1" applyBorder="1"/>
    <xf numFmtId="0" fontId="3" fillId="11" borderId="1" xfId="0" applyFont="1" applyFill="1" applyBorder="1"/>
    <xf numFmtId="0" fontId="4" fillId="8" borderId="0" xfId="0" applyFont="1" applyFill="1" applyAlignment="1">
      <alignment horizontal="center"/>
    </xf>
    <xf numFmtId="165" fontId="5" fillId="2" borderId="0" xfId="0" applyNumberFormat="1" applyFont="1" applyFill="1" applyAlignment="1">
      <alignment horizontal="center" vertical="center" wrapText="1"/>
    </xf>
    <xf numFmtId="43" fontId="3" fillId="0" borderId="3" xfId="1" applyFont="1" applyBorder="1"/>
    <xf numFmtId="166" fontId="3" fillId="0" borderId="3" xfId="1" applyNumberFormat="1" applyFont="1" applyBorder="1"/>
    <xf numFmtId="165" fontId="3" fillId="0" borderId="1" xfId="0" applyNumberFormat="1" applyFont="1" applyBorder="1" applyAlignment="1">
      <alignment vertical="center"/>
    </xf>
    <xf numFmtId="165" fontId="3" fillId="0" borderId="0" xfId="0" applyNumberFormat="1" applyFont="1" applyAlignment="1">
      <alignment vertical="center"/>
    </xf>
    <xf numFmtId="164" fontId="4" fillId="0" borderId="0" xfId="2" applyFont="1" applyAlignment="1">
      <alignment vertical="center"/>
    </xf>
    <xf numFmtId="164" fontId="4" fillId="0" borderId="0" xfId="2" applyFont="1" applyBorder="1" applyAlignment="1">
      <alignment vertical="center"/>
    </xf>
    <xf numFmtId="0" fontId="3" fillId="8" borderId="8" xfId="0" applyFont="1" applyFill="1" applyBorder="1" applyAlignment="1">
      <alignment horizontal="center" vertical="center"/>
    </xf>
    <xf numFmtId="14" fontId="3" fillId="8" borderId="4" xfId="0" applyNumberFormat="1" applyFont="1" applyFill="1" applyBorder="1" applyAlignment="1">
      <alignment horizontal="center" vertical="center"/>
    </xf>
    <xf numFmtId="14" fontId="3" fillId="8" borderId="8" xfId="0" applyNumberFormat="1" applyFont="1" applyFill="1" applyBorder="1" applyAlignment="1">
      <alignment horizontal="center" vertical="center"/>
    </xf>
    <xf numFmtId="0" fontId="7" fillId="8" borderId="1" xfId="0" applyFont="1" applyFill="1" applyBorder="1" applyAlignment="1">
      <alignment wrapText="1"/>
    </xf>
    <xf numFmtId="0" fontId="3" fillId="8" borderId="1" xfId="0" applyFont="1" applyFill="1" applyBorder="1" applyAlignment="1">
      <alignment wrapText="1"/>
    </xf>
    <xf numFmtId="164" fontId="3" fillId="8" borderId="1" xfId="2" applyFont="1" applyFill="1" applyBorder="1" applyAlignment="1">
      <alignment horizontal="left"/>
    </xf>
    <xf numFmtId="0" fontId="4" fillId="8" borderId="1" xfId="0" applyFont="1" applyFill="1" applyBorder="1"/>
    <xf numFmtId="164" fontId="8" fillId="8" borderId="1" xfId="2" applyFont="1" applyFill="1" applyBorder="1"/>
    <xf numFmtId="166" fontId="7" fillId="8" borderId="1" xfId="0" applyNumberFormat="1" applyFont="1" applyFill="1" applyBorder="1" applyAlignment="1">
      <alignment horizontal="center" vertical="center"/>
    </xf>
    <xf numFmtId="168" fontId="7" fillId="8" borderId="1" xfId="0" applyNumberFormat="1" applyFont="1" applyFill="1" applyBorder="1" applyAlignment="1">
      <alignment vertical="center"/>
    </xf>
    <xf numFmtId="0" fontId="7" fillId="8" borderId="1" xfId="0" applyFont="1" applyFill="1" applyBorder="1" applyAlignment="1">
      <alignment horizontal="center"/>
    </xf>
    <xf numFmtId="43" fontId="4" fillId="8" borderId="1" xfId="1" applyFont="1" applyFill="1" applyBorder="1"/>
    <xf numFmtId="164" fontId="7" fillId="8" borderId="1" xfId="2" applyFont="1" applyFill="1" applyBorder="1"/>
    <xf numFmtId="43" fontId="8" fillId="8" borderId="1" xfId="1" applyFont="1" applyFill="1" applyBorder="1"/>
    <xf numFmtId="0" fontId="7" fillId="8" borderId="0" xfId="0" applyFont="1" applyFill="1"/>
    <xf numFmtId="43" fontId="3" fillId="8" borderId="2" xfId="1" applyFont="1" applyFill="1" applyBorder="1" applyAlignment="1">
      <alignment horizontal="right" vertical="center"/>
    </xf>
    <xf numFmtId="0" fontId="7" fillId="8" borderId="4" xfId="0" applyFont="1" applyFill="1" applyBorder="1"/>
    <xf numFmtId="43" fontId="7" fillId="8" borderId="4" xfId="1" applyFont="1" applyFill="1" applyBorder="1"/>
    <xf numFmtId="0" fontId="3" fillId="8" borderId="1" xfId="0" applyFont="1" applyFill="1" applyBorder="1" applyAlignment="1">
      <alignment horizontal="center"/>
    </xf>
    <xf numFmtId="43" fontId="3" fillId="8" borderId="2" xfId="1" applyFont="1" applyFill="1" applyBorder="1"/>
    <xf numFmtId="43" fontId="7" fillId="8" borderId="1" xfId="1" applyFont="1" applyFill="1" applyBorder="1" applyAlignment="1">
      <alignment vertical="center"/>
    </xf>
    <xf numFmtId="43" fontId="12" fillId="8" borderId="1" xfId="1" applyFont="1" applyFill="1" applyBorder="1"/>
    <xf numFmtId="43" fontId="17" fillId="8" borderId="1" xfId="1" applyFont="1" applyFill="1" applyBorder="1"/>
    <xf numFmtId="14" fontId="3" fillId="8" borderId="1" xfId="0" applyNumberFormat="1" applyFont="1" applyFill="1" applyBorder="1" applyAlignment="1">
      <alignment horizontal="center" vertical="center"/>
    </xf>
    <xf numFmtId="0" fontId="3" fillId="8" borderId="0" xfId="0" applyFont="1" applyFill="1" applyAlignment="1">
      <alignment horizontal="center" vertical="center"/>
    </xf>
    <xf numFmtId="0" fontId="3" fillId="8" borderId="1" xfId="0" applyFont="1" applyFill="1" applyBorder="1" applyAlignment="1">
      <alignment horizontal="left"/>
    </xf>
    <xf numFmtId="0" fontId="7" fillId="8" borderId="1" xfId="0" applyFont="1" applyFill="1" applyBorder="1" applyAlignment="1">
      <alignment horizontal="left"/>
    </xf>
    <xf numFmtId="43" fontId="17" fillId="8" borderId="1" xfId="1" applyFont="1" applyFill="1" applyBorder="1" applyAlignment="1">
      <alignment horizontal="left"/>
    </xf>
    <xf numFmtId="0" fontId="3" fillId="8" borderId="4" xfId="0" applyFont="1" applyFill="1" applyBorder="1"/>
    <xf numFmtId="43" fontId="3" fillId="8" borderId="4" xfId="1" applyFont="1" applyFill="1" applyBorder="1"/>
    <xf numFmtId="164" fontId="3" fillId="8" borderId="0" xfId="2" applyFont="1" applyFill="1" applyBorder="1"/>
    <xf numFmtId="43" fontId="3" fillId="8" borderId="0" xfId="1" applyFont="1" applyFill="1" applyBorder="1"/>
    <xf numFmtId="43" fontId="4" fillId="8" borderId="0" xfId="1" applyFont="1" applyFill="1" applyBorder="1"/>
    <xf numFmtId="0" fontId="4" fillId="8" borderId="0" xfId="0" applyFont="1" applyFill="1" applyAlignment="1">
      <alignment horizontal="center" vertical="center"/>
    </xf>
    <xf numFmtId="43" fontId="3" fillId="8" borderId="1" xfId="1" applyFont="1" applyFill="1" applyBorder="1" applyAlignment="1">
      <alignment horizontal="center" vertical="center"/>
    </xf>
    <xf numFmtId="164" fontId="8" fillId="8" borderId="0" xfId="2" applyFont="1" applyFill="1" applyBorder="1"/>
    <xf numFmtId="164" fontId="7" fillId="8" borderId="0" xfId="2" applyFont="1" applyFill="1" applyBorder="1"/>
    <xf numFmtId="43" fontId="8" fillId="8" borderId="0" xfId="1" applyFont="1" applyFill="1" applyBorder="1"/>
    <xf numFmtId="164" fontId="4" fillId="8" borderId="0" xfId="2" applyFont="1" applyFill="1" applyBorder="1"/>
    <xf numFmtId="0" fontId="11" fillId="8" borderId="1" xfId="0" applyFont="1" applyFill="1" applyBorder="1"/>
    <xf numFmtId="0" fontId="8" fillId="8" borderId="1" xfId="0" applyFont="1" applyFill="1" applyBorder="1" applyAlignment="1">
      <alignment horizontal="center" vertical="center"/>
    </xf>
    <xf numFmtId="0" fontId="11" fillId="8" borderId="1" xfId="0" applyFont="1" applyFill="1" applyBorder="1" applyAlignment="1">
      <alignment horizontal="center" vertical="center"/>
    </xf>
    <xf numFmtId="43" fontId="11" fillId="8" borderId="1" xfId="1" applyFont="1" applyFill="1" applyBorder="1" applyAlignment="1">
      <alignment horizontal="right" vertical="center"/>
    </xf>
    <xf numFmtId="164" fontId="12" fillId="8" borderId="1" xfId="2" applyFont="1" applyFill="1" applyBorder="1"/>
    <xf numFmtId="0" fontId="8" fillId="8" borderId="1" xfId="0" applyFont="1" applyFill="1" applyBorder="1"/>
    <xf numFmtId="43" fontId="8" fillId="8" borderId="1" xfId="1" applyFont="1" applyFill="1" applyBorder="1" applyAlignment="1">
      <alignment horizontal="right" vertical="center"/>
    </xf>
    <xf numFmtId="0" fontId="4" fillId="8" borderId="1" xfId="0" applyFont="1" applyFill="1" applyBorder="1" applyAlignment="1">
      <alignment horizontal="center" vertical="center"/>
    </xf>
    <xf numFmtId="168" fontId="3" fillId="8" borderId="17" xfId="0" applyNumberFormat="1" applyFont="1" applyFill="1" applyBorder="1" applyAlignment="1">
      <alignment horizontal="center" vertical="center"/>
    </xf>
    <xf numFmtId="168" fontId="3" fillId="8" borderId="1" xfId="0" applyNumberFormat="1" applyFont="1" applyFill="1" applyBorder="1" applyAlignment="1">
      <alignment horizontal="center" vertical="center"/>
    </xf>
    <xf numFmtId="168" fontId="3" fillId="8" borderId="18" xfId="0" applyNumberFormat="1" applyFont="1" applyFill="1" applyBorder="1" applyAlignment="1">
      <alignment horizontal="center" vertical="center"/>
    </xf>
    <xf numFmtId="168" fontId="3" fillId="8" borderId="2" xfId="0" applyNumberFormat="1" applyFont="1" applyFill="1" applyBorder="1" applyAlignment="1">
      <alignment horizontal="center" vertical="center"/>
    </xf>
    <xf numFmtId="168" fontId="3" fillId="8" borderId="48" xfId="0" applyNumberFormat="1" applyFont="1" applyFill="1" applyBorder="1" applyAlignment="1">
      <alignment horizontal="center" vertical="center"/>
    </xf>
    <xf numFmtId="10" fontId="3" fillId="8" borderId="3" xfId="0" applyNumberFormat="1" applyFont="1" applyFill="1" applyBorder="1" applyAlignment="1">
      <alignment horizontal="center" vertical="center"/>
    </xf>
    <xf numFmtId="164" fontId="3" fillId="8" borderId="3" xfId="2" applyFont="1" applyFill="1" applyBorder="1"/>
    <xf numFmtId="164" fontId="4" fillId="8" borderId="2" xfId="2" applyFont="1" applyFill="1" applyBorder="1"/>
    <xf numFmtId="43" fontId="3" fillId="8" borderId="17" xfId="1" applyFont="1" applyFill="1" applyBorder="1"/>
    <xf numFmtId="43" fontId="3" fillId="8" borderId="49" xfId="1" applyFont="1" applyFill="1" applyBorder="1"/>
    <xf numFmtId="0" fontId="3" fillId="8" borderId="0" xfId="0" applyFont="1" applyFill="1" applyAlignment="1">
      <alignment wrapText="1"/>
    </xf>
    <xf numFmtId="166" fontId="3" fillId="8" borderId="0" xfId="0" applyNumberFormat="1" applyFont="1" applyFill="1" applyAlignment="1">
      <alignment horizontal="center" vertical="center"/>
    </xf>
    <xf numFmtId="43" fontId="3" fillId="8" borderId="0" xfId="1" applyFont="1" applyFill="1" applyAlignment="1">
      <alignment horizontal="right" vertical="center"/>
    </xf>
    <xf numFmtId="0" fontId="3" fillId="8" borderId="4" xfId="0" applyFont="1" applyFill="1" applyBorder="1" applyAlignment="1">
      <alignment wrapText="1"/>
    </xf>
    <xf numFmtId="43" fontId="3" fillId="8" borderId="22" xfId="1" applyFont="1" applyFill="1" applyBorder="1"/>
    <xf numFmtId="10" fontId="3" fillId="8" borderId="1" xfId="0" applyNumberFormat="1" applyFont="1" applyFill="1" applyBorder="1" applyAlignment="1">
      <alignment horizontal="center" vertical="center"/>
    </xf>
    <xf numFmtId="165" fontId="3" fillId="8" borderId="0" xfId="0" applyNumberFormat="1" applyFont="1" applyFill="1" applyAlignment="1">
      <alignment horizontal="center" vertical="center"/>
    </xf>
    <xf numFmtId="0" fontId="3" fillId="8" borderId="1" xfId="0" applyFont="1" applyFill="1" applyBorder="1" applyAlignment="1">
      <alignment vertical="center" wrapText="1"/>
    </xf>
    <xf numFmtId="165" fontId="3" fillId="8" borderId="0" xfId="0" applyNumberFormat="1" applyFont="1" applyFill="1"/>
    <xf numFmtId="165" fontId="3" fillId="8" borderId="0" xfId="0" applyNumberFormat="1" applyFont="1" applyFill="1" applyAlignment="1">
      <alignment vertical="center"/>
    </xf>
    <xf numFmtId="164" fontId="3" fillId="8" borderId="0" xfId="2" applyFont="1" applyFill="1"/>
    <xf numFmtId="166" fontId="7" fillId="8" borderId="2" xfId="0" applyNumberFormat="1" applyFont="1" applyFill="1" applyBorder="1" applyAlignment="1">
      <alignment horizontal="center" vertical="center"/>
    </xf>
    <xf numFmtId="43" fontId="7" fillId="8" borderId="17" xfId="1" applyFont="1" applyFill="1" applyBorder="1" applyAlignment="1">
      <alignment vertical="center"/>
    </xf>
    <xf numFmtId="43" fontId="3" fillId="8" borderId="18" xfId="1" applyFont="1" applyFill="1" applyBorder="1"/>
    <xf numFmtId="166" fontId="3" fillId="8" borderId="3" xfId="1" applyNumberFormat="1" applyFont="1" applyFill="1" applyBorder="1"/>
    <xf numFmtId="43" fontId="3" fillId="8" borderId="3" xfId="1" applyFont="1" applyFill="1" applyBorder="1"/>
    <xf numFmtId="164" fontId="7" fillId="8" borderId="2" xfId="2" applyFont="1" applyFill="1" applyBorder="1"/>
    <xf numFmtId="43" fontId="7" fillId="8" borderId="22" xfId="1" applyFont="1" applyFill="1" applyBorder="1" applyAlignment="1">
      <alignment vertical="center"/>
    </xf>
    <xf numFmtId="168" fontId="7" fillId="8" borderId="1" xfId="2" applyNumberFormat="1" applyFont="1" applyFill="1" applyBorder="1" applyAlignment="1">
      <alignment vertical="center"/>
    </xf>
    <xf numFmtId="168" fontId="7" fillId="8" borderId="5" xfId="2" applyNumberFormat="1" applyFont="1" applyFill="1" applyBorder="1" applyAlignment="1">
      <alignment horizontal="center" vertical="center"/>
    </xf>
    <xf numFmtId="43" fontId="3" fillId="8" borderId="5" xfId="1" applyFont="1" applyFill="1" applyBorder="1"/>
    <xf numFmtId="168" fontId="7" fillId="8" borderId="1" xfId="2" applyNumberFormat="1" applyFont="1" applyFill="1" applyBorder="1" applyAlignment="1">
      <alignment horizontal="center" vertical="center"/>
    </xf>
    <xf numFmtId="165" fontId="3" fillId="8" borderId="1" xfId="0" applyNumberFormat="1" applyFont="1" applyFill="1" applyBorder="1" applyAlignment="1">
      <alignment vertical="center"/>
    </xf>
    <xf numFmtId="165" fontId="3" fillId="8" borderId="3" xfId="1" applyNumberFormat="1" applyFont="1" applyFill="1" applyBorder="1"/>
    <xf numFmtId="0" fontId="5" fillId="2" borderId="4" xfId="0" applyFont="1" applyFill="1" applyBorder="1" applyAlignment="1">
      <alignment horizontal="center" vertical="center" wrapText="1"/>
    </xf>
    <xf numFmtId="166" fontId="5" fillId="2" borderId="4" xfId="0" applyNumberFormat="1" applyFont="1" applyFill="1" applyBorder="1" applyAlignment="1">
      <alignment horizontal="center" vertical="center" wrapText="1"/>
    </xf>
    <xf numFmtId="1" fontId="5" fillId="2" borderId="4" xfId="0" applyNumberFormat="1" applyFont="1" applyFill="1" applyBorder="1" applyAlignment="1">
      <alignment horizontal="center" vertical="center" wrapText="1"/>
    </xf>
    <xf numFmtId="167" fontId="5" fillId="2" borderId="4" xfId="2" applyNumberFormat="1" applyFont="1" applyFill="1" applyBorder="1" applyAlignment="1">
      <alignment horizontal="center" vertical="center" wrapText="1"/>
    </xf>
    <xf numFmtId="168" fontId="5" fillId="2" borderId="4" xfId="2" applyNumberFormat="1" applyFont="1" applyFill="1" applyBorder="1" applyAlignment="1">
      <alignment horizontal="center" vertical="center" wrapText="1"/>
    </xf>
    <xf numFmtId="2" fontId="5" fillId="2" borderId="4" xfId="0" applyNumberFormat="1" applyFont="1" applyFill="1" applyBorder="1" applyAlignment="1">
      <alignment horizontal="center" vertical="center" wrapText="1"/>
    </xf>
    <xf numFmtId="164" fontId="5" fillId="2" borderId="4" xfId="2" applyFont="1" applyFill="1" applyBorder="1" applyAlignment="1">
      <alignment horizontal="center" vertical="center"/>
    </xf>
    <xf numFmtId="44" fontId="3" fillId="0" borderId="1" xfId="0" applyNumberFormat="1" applyFont="1" applyBorder="1"/>
    <xf numFmtId="43" fontId="3" fillId="0" borderId="1" xfId="0" applyNumberFormat="1" applyFont="1" applyBorder="1" applyAlignment="1">
      <alignment horizontal="center" vertical="center"/>
    </xf>
    <xf numFmtId="0" fontId="17" fillId="0" borderId="1" xfId="0" applyFont="1" applyBorder="1"/>
    <xf numFmtId="43" fontId="3" fillId="0" borderId="1" xfId="1" applyFont="1" applyFill="1" applyBorder="1" applyAlignment="1">
      <alignment horizontal="center" vertical="center"/>
    </xf>
    <xf numFmtId="43" fontId="0" fillId="0" borderId="0" xfId="1" applyFont="1" applyFill="1"/>
    <xf numFmtId="0" fontId="6" fillId="0" borderId="0" xfId="0" applyFont="1"/>
    <xf numFmtId="0" fontId="12" fillId="0" borderId="0" xfId="0" applyFont="1"/>
    <xf numFmtId="0" fontId="3" fillId="2" borderId="1" xfId="0" applyFont="1" applyFill="1" applyBorder="1" applyAlignment="1">
      <alignment wrapText="1"/>
    </xf>
    <xf numFmtId="14" fontId="3" fillId="2" borderId="1" xfId="0" applyNumberFormat="1" applyFont="1" applyFill="1" applyBorder="1" applyAlignment="1">
      <alignment horizontal="center" vertical="center"/>
    </xf>
    <xf numFmtId="168" fontId="3" fillId="2" borderId="48" xfId="0" applyNumberFormat="1" applyFont="1" applyFill="1" applyBorder="1" applyAlignment="1">
      <alignment horizontal="center" vertical="center"/>
    </xf>
    <xf numFmtId="0" fontId="3" fillId="2" borderId="1" xfId="0" applyFont="1" applyFill="1" applyBorder="1" applyAlignment="1">
      <alignment horizontal="center" vertical="center"/>
    </xf>
    <xf numFmtId="164" fontId="3" fillId="2" borderId="1" xfId="2" applyFont="1" applyFill="1" applyBorder="1"/>
    <xf numFmtId="164" fontId="4" fillId="2" borderId="1" xfId="2" applyFont="1" applyFill="1" applyBorder="1"/>
    <xf numFmtId="0" fontId="3" fillId="2" borderId="2" xfId="0" applyFont="1" applyFill="1" applyBorder="1"/>
    <xf numFmtId="0" fontId="3" fillId="2" borderId="1" xfId="0" applyFont="1" applyFill="1" applyBorder="1" applyAlignment="1">
      <alignment vertical="center"/>
    </xf>
    <xf numFmtId="168" fontId="3" fillId="2" borderId="17" xfId="0" applyNumberFormat="1" applyFont="1" applyFill="1" applyBorder="1" applyAlignment="1">
      <alignment horizontal="center" vertical="center"/>
    </xf>
    <xf numFmtId="168" fontId="3" fillId="2" borderId="1" xfId="0" applyNumberFormat="1" applyFont="1" applyFill="1" applyBorder="1" applyAlignment="1">
      <alignment horizontal="center" vertical="center"/>
    </xf>
    <xf numFmtId="168" fontId="3" fillId="2" borderId="18" xfId="0" applyNumberFormat="1" applyFont="1" applyFill="1" applyBorder="1" applyAlignment="1">
      <alignment horizontal="center" vertical="center"/>
    </xf>
    <xf numFmtId="164" fontId="4" fillId="2" borderId="2" xfId="2" applyFont="1" applyFill="1" applyBorder="1"/>
    <xf numFmtId="43" fontId="3" fillId="2" borderId="2" xfId="1" applyFont="1" applyFill="1" applyBorder="1"/>
    <xf numFmtId="43" fontId="3" fillId="2" borderId="2" xfId="1" applyFont="1" applyFill="1" applyBorder="1" applyAlignment="1">
      <alignment horizontal="right" vertical="center"/>
    </xf>
    <xf numFmtId="168" fontId="3" fillId="2" borderId="2" xfId="0" applyNumberFormat="1" applyFont="1" applyFill="1" applyBorder="1" applyAlignment="1">
      <alignment horizontal="center" vertical="center"/>
    </xf>
    <xf numFmtId="10" fontId="3" fillId="2" borderId="3" xfId="0" applyNumberFormat="1" applyFont="1" applyFill="1" applyBorder="1" applyAlignment="1">
      <alignment horizontal="center" vertical="center"/>
    </xf>
    <xf numFmtId="164" fontId="3" fillId="2" borderId="3" xfId="2" applyFont="1" applyFill="1" applyBorder="1"/>
    <xf numFmtId="43" fontId="3" fillId="2" borderId="17" xfId="1" applyFont="1" applyFill="1" applyBorder="1"/>
    <xf numFmtId="43" fontId="3" fillId="2" borderId="49" xfId="1" applyFont="1" applyFill="1" applyBorder="1"/>
    <xf numFmtId="166" fontId="3" fillId="2" borderId="1" xfId="0" applyNumberFormat="1" applyFont="1" applyFill="1" applyBorder="1" applyAlignment="1">
      <alignment horizontal="center" vertical="center"/>
    </xf>
    <xf numFmtId="164" fontId="4" fillId="0" borderId="2" xfId="2" applyFont="1" applyFill="1" applyBorder="1"/>
    <xf numFmtId="0" fontId="7" fillId="2" borderId="1" xfId="0" applyFont="1" applyFill="1" applyBorder="1" applyAlignment="1">
      <alignment wrapText="1"/>
    </xf>
    <xf numFmtId="166" fontId="7" fillId="2" borderId="1" xfId="0" applyNumberFormat="1" applyFont="1" applyFill="1" applyBorder="1" applyAlignment="1">
      <alignment horizontal="center" vertical="center"/>
    </xf>
    <xf numFmtId="166" fontId="7" fillId="2" borderId="2" xfId="0" applyNumberFormat="1" applyFont="1" applyFill="1" applyBorder="1" applyAlignment="1">
      <alignment horizontal="center" vertical="center"/>
    </xf>
    <xf numFmtId="43" fontId="3" fillId="2" borderId="18" xfId="1" applyFont="1" applyFill="1" applyBorder="1"/>
    <xf numFmtId="166" fontId="3" fillId="2" borderId="3" xfId="1" applyNumberFormat="1" applyFont="1" applyFill="1" applyBorder="1"/>
    <xf numFmtId="43" fontId="3" fillId="2" borderId="3" xfId="1" applyFont="1" applyFill="1" applyBorder="1"/>
    <xf numFmtId="10" fontId="7" fillId="2" borderId="3" xfId="0" applyNumberFormat="1" applyFont="1" applyFill="1" applyBorder="1" applyAlignment="1">
      <alignment horizontal="center" vertical="center"/>
    </xf>
    <xf numFmtId="0" fontId="7" fillId="2" borderId="1" xfId="0" applyFont="1" applyFill="1" applyBorder="1" applyAlignment="1">
      <alignment horizontal="center" vertical="center"/>
    </xf>
    <xf numFmtId="164" fontId="7" fillId="2" borderId="1" xfId="2" applyFont="1" applyFill="1" applyBorder="1"/>
    <xf numFmtId="43" fontId="7" fillId="2" borderId="1" xfId="1" applyFont="1" applyFill="1" applyBorder="1"/>
    <xf numFmtId="43" fontId="8" fillId="2" borderId="1" xfId="1" applyFont="1" applyFill="1" applyBorder="1"/>
    <xf numFmtId="43" fontId="3" fillId="2" borderId="0" xfId="1" applyFont="1" applyFill="1"/>
    <xf numFmtId="0" fontId="7" fillId="2" borderId="0" xfId="0" applyFont="1" applyFill="1"/>
    <xf numFmtId="43" fontId="4" fillId="2" borderId="1" xfId="1" applyFont="1" applyFill="1" applyBorder="1"/>
    <xf numFmtId="165" fontId="3" fillId="2" borderId="1" xfId="0" applyNumberFormat="1" applyFont="1" applyFill="1" applyBorder="1"/>
    <xf numFmtId="43" fontId="3" fillId="2" borderId="24" xfId="1" applyFont="1" applyFill="1" applyBorder="1"/>
    <xf numFmtId="43" fontId="3" fillId="2" borderId="25" xfId="1" applyFont="1" applyFill="1" applyBorder="1"/>
    <xf numFmtId="43" fontId="3" fillId="2" borderId="23" xfId="1" applyFont="1" applyFill="1" applyBorder="1"/>
    <xf numFmtId="43" fontId="3" fillId="2" borderId="43" xfId="1" applyFont="1" applyFill="1" applyBorder="1"/>
    <xf numFmtId="43" fontId="0" fillId="2" borderId="0" xfId="1" applyFont="1" applyFill="1"/>
    <xf numFmtId="0" fontId="7" fillId="0" borderId="2" xfId="0" applyFont="1" applyBorder="1"/>
    <xf numFmtId="0" fontId="18" fillId="2" borderId="1" xfId="0" applyFont="1" applyFill="1" applyBorder="1" applyAlignment="1">
      <alignment horizontal="center" vertical="center" wrapText="1"/>
    </xf>
    <xf numFmtId="0" fontId="18" fillId="12" borderId="1" xfId="0" applyFont="1" applyFill="1" applyBorder="1" applyAlignment="1">
      <alignment horizontal="center" vertical="center" wrapText="1"/>
    </xf>
    <xf numFmtId="0" fontId="0" fillId="0" borderId="1" xfId="0" applyBorder="1"/>
    <xf numFmtId="0" fontId="3" fillId="6" borderId="4" xfId="0" applyFont="1" applyFill="1" applyBorder="1"/>
    <xf numFmtId="43" fontId="3" fillId="2" borderId="1" xfId="0" applyNumberFormat="1" applyFont="1" applyFill="1" applyBorder="1"/>
    <xf numFmtId="43" fontId="3" fillId="0" borderId="1" xfId="0" applyNumberFormat="1" applyFont="1" applyBorder="1"/>
    <xf numFmtId="165" fontId="3" fillId="2" borderId="2" xfId="0" applyNumberFormat="1" applyFont="1" applyFill="1" applyBorder="1" applyAlignment="1">
      <alignment horizontal="center" vertical="center"/>
    </xf>
    <xf numFmtId="43" fontId="3" fillId="2" borderId="31" xfId="1" applyFont="1" applyFill="1" applyBorder="1"/>
    <xf numFmtId="43" fontId="17" fillId="2" borderId="1" xfId="1" applyFont="1" applyFill="1" applyBorder="1"/>
    <xf numFmtId="0" fontId="18" fillId="0" borderId="0" xfId="0" applyFont="1" applyAlignment="1">
      <alignment horizontal="center" vertical="center" wrapText="1"/>
    </xf>
    <xf numFmtId="0" fontId="3" fillId="0" borderId="3" xfId="0" applyFont="1" applyBorder="1"/>
    <xf numFmtId="0" fontId="3" fillId="0" borderId="3" xfId="0" applyFont="1" applyBorder="1" applyAlignment="1">
      <alignment horizontal="left"/>
    </xf>
    <xf numFmtId="43" fontId="3" fillId="0" borderId="1" xfId="1" applyFont="1" applyFill="1" applyBorder="1" applyAlignment="1">
      <alignment horizontal="right" vertical="center"/>
    </xf>
    <xf numFmtId="0" fontId="3" fillId="0" borderId="4" xfId="0" applyFont="1" applyBorder="1"/>
    <xf numFmtId="43" fontId="8" fillId="0" borderId="1" xfId="1" applyFont="1" applyFill="1" applyBorder="1"/>
    <xf numFmtId="0" fontId="3" fillId="6" borderId="1" xfId="0" applyFont="1" applyFill="1" applyBorder="1" applyAlignment="1">
      <alignment vertical="center" wrapText="1"/>
    </xf>
    <xf numFmtId="166" fontId="3" fillId="2" borderId="1" xfId="0" applyNumberFormat="1" applyFont="1" applyFill="1" applyBorder="1" applyAlignment="1">
      <alignment horizontal="center" vertical="center" wrapText="1"/>
    </xf>
    <xf numFmtId="43" fontId="7" fillId="2" borderId="2" xfId="1" applyFont="1" applyFill="1" applyBorder="1" applyAlignment="1">
      <alignment horizontal="right" vertical="center" wrapText="1"/>
    </xf>
    <xf numFmtId="164" fontId="7" fillId="2" borderId="17" xfId="2" applyFont="1" applyFill="1" applyBorder="1" applyAlignment="1">
      <alignment vertical="center"/>
    </xf>
    <xf numFmtId="168" fontId="7" fillId="2" borderId="1" xfId="0" applyNumberFormat="1" applyFont="1" applyFill="1" applyBorder="1" applyAlignment="1">
      <alignment vertical="center"/>
    </xf>
    <xf numFmtId="43" fontId="3" fillId="2" borderId="18" xfId="0" applyNumberFormat="1" applyFont="1" applyFill="1" applyBorder="1" applyAlignment="1">
      <alignment horizontal="left"/>
    </xf>
    <xf numFmtId="168" fontId="7" fillId="2" borderId="17" xfId="0" applyNumberFormat="1" applyFont="1" applyFill="1" applyBorder="1" applyAlignment="1">
      <alignment vertical="center"/>
    </xf>
    <xf numFmtId="168" fontId="7" fillId="2" borderId="3" xfId="0" applyNumberFormat="1" applyFont="1" applyFill="1" applyBorder="1" applyAlignment="1">
      <alignment vertical="center"/>
    </xf>
    <xf numFmtId="168" fontId="7" fillId="2" borderId="18" xfId="0" applyNumberFormat="1" applyFont="1" applyFill="1" applyBorder="1" applyAlignment="1">
      <alignment vertical="center"/>
    </xf>
    <xf numFmtId="44" fontId="3" fillId="2" borderId="17" xfId="0" applyNumberFormat="1" applyFont="1" applyFill="1" applyBorder="1" applyAlignment="1">
      <alignment horizontal="left"/>
    </xf>
    <xf numFmtId="168" fontId="7" fillId="2" borderId="2" xfId="0" applyNumberFormat="1" applyFont="1" applyFill="1" applyBorder="1" applyAlignment="1">
      <alignment vertical="center"/>
    </xf>
    <xf numFmtId="0" fontId="7" fillId="2" borderId="1" xfId="0" applyFont="1" applyFill="1" applyBorder="1" applyAlignment="1">
      <alignment horizontal="center"/>
    </xf>
    <xf numFmtId="43" fontId="7" fillId="2" borderId="2" xfId="1" applyFont="1" applyFill="1" applyBorder="1"/>
    <xf numFmtId="0" fontId="7" fillId="2" borderId="2" xfId="0" applyFont="1" applyFill="1" applyBorder="1"/>
    <xf numFmtId="0" fontId="34" fillId="0" borderId="59" xfId="0" applyFont="1" applyBorder="1" applyAlignment="1">
      <alignment vertical="top" readingOrder="1"/>
    </xf>
    <xf numFmtId="0" fontId="4" fillId="0" borderId="0" xfId="0" applyFont="1" applyAlignment="1">
      <alignment horizontal="center"/>
    </xf>
    <xf numFmtId="43" fontId="17" fillId="0" borderId="1" xfId="1" applyFont="1" applyFill="1" applyBorder="1"/>
    <xf numFmtId="10" fontId="3" fillId="0" borderId="1" xfId="0" applyNumberFormat="1" applyFont="1" applyBorder="1" applyAlignment="1">
      <alignment horizontal="center" vertical="center"/>
    </xf>
    <xf numFmtId="43" fontId="7" fillId="8" borderId="2" xfId="1" applyFont="1" applyFill="1" applyBorder="1" applyAlignment="1">
      <alignment horizontal="right" vertical="center"/>
    </xf>
    <xf numFmtId="168" fontId="7" fillId="8" borderId="17" xfId="0" applyNumberFormat="1" applyFont="1" applyFill="1" applyBorder="1" applyAlignment="1">
      <alignment horizontal="center" vertical="center"/>
    </xf>
    <xf numFmtId="168" fontId="7" fillId="8" borderId="1" xfId="0" applyNumberFormat="1" applyFont="1" applyFill="1" applyBorder="1" applyAlignment="1">
      <alignment horizontal="center" vertical="center"/>
    </xf>
    <xf numFmtId="168" fontId="7" fillId="8" borderId="18" xfId="0" applyNumberFormat="1" applyFont="1" applyFill="1" applyBorder="1" applyAlignment="1">
      <alignment horizontal="center" vertical="center"/>
    </xf>
    <xf numFmtId="168" fontId="7" fillId="8" borderId="2" xfId="0" applyNumberFormat="1" applyFont="1" applyFill="1" applyBorder="1" applyAlignment="1">
      <alignment horizontal="center" vertical="center"/>
    </xf>
    <xf numFmtId="168" fontId="7" fillId="8" borderId="48" xfId="0" applyNumberFormat="1" applyFont="1" applyFill="1" applyBorder="1" applyAlignment="1">
      <alignment horizontal="center" vertical="center"/>
    </xf>
    <xf numFmtId="164" fontId="7" fillId="8" borderId="3" xfId="2" applyFont="1" applyFill="1" applyBorder="1"/>
    <xf numFmtId="164" fontId="8" fillId="8" borderId="2" xfId="2" applyFont="1" applyFill="1" applyBorder="1"/>
    <xf numFmtId="43" fontId="7" fillId="8" borderId="17" xfId="1" applyFont="1" applyFill="1" applyBorder="1"/>
    <xf numFmtId="43" fontId="7" fillId="8" borderId="49" xfId="1" applyFont="1" applyFill="1" applyBorder="1"/>
    <xf numFmtId="0" fontId="3" fillId="0" borderId="4" xfId="0" applyFont="1" applyBorder="1" applyAlignment="1">
      <alignment wrapText="1"/>
    </xf>
    <xf numFmtId="14" fontId="3" fillId="0" borderId="0" xfId="0" applyNumberFormat="1" applyFont="1" applyAlignment="1">
      <alignment horizontal="center" vertical="center"/>
    </xf>
    <xf numFmtId="43" fontId="3" fillId="0" borderId="0" xfId="1" applyFont="1" applyFill="1" applyAlignment="1">
      <alignment horizontal="right" vertical="center"/>
    </xf>
    <xf numFmtId="43" fontId="3" fillId="0" borderId="0" xfId="1" applyFont="1" applyFill="1" applyAlignment="1">
      <alignment horizontal="center" vertical="center"/>
    </xf>
    <xf numFmtId="165" fontId="3" fillId="0" borderId="0" xfId="0" applyNumberFormat="1" applyFont="1" applyAlignment="1">
      <alignment horizontal="center" vertical="center"/>
    </xf>
    <xf numFmtId="0" fontId="3" fillId="0" borderId="21" xfId="0" applyFont="1" applyBorder="1"/>
    <xf numFmtId="4" fontId="3" fillId="0" borderId="0" xfId="0" applyNumberFormat="1" applyFont="1"/>
    <xf numFmtId="166" fontId="5" fillId="2" borderId="7" xfId="0" applyNumberFormat="1" applyFont="1" applyFill="1" applyBorder="1" applyAlignment="1">
      <alignment horizontal="center" vertical="center" wrapText="1"/>
    </xf>
    <xf numFmtId="43" fontId="5" fillId="2" borderId="42" xfId="1" applyFont="1" applyFill="1" applyBorder="1" applyAlignment="1">
      <alignment horizontal="center" vertical="center" wrapText="1"/>
    </xf>
    <xf numFmtId="165" fontId="5" fillId="2" borderId="61" xfId="0" applyNumberFormat="1" applyFont="1" applyFill="1" applyBorder="1" applyAlignment="1">
      <alignment horizontal="center" vertical="center" wrapText="1"/>
    </xf>
    <xf numFmtId="165" fontId="5" fillId="2" borderId="7" xfId="0" applyNumberFormat="1" applyFont="1" applyFill="1" applyBorder="1" applyAlignment="1">
      <alignment horizontal="center" vertical="center" wrapText="1"/>
    </xf>
    <xf numFmtId="165" fontId="5" fillId="2" borderId="62" xfId="0" applyNumberFormat="1" applyFont="1" applyFill="1" applyBorder="1" applyAlignment="1">
      <alignment horizontal="center" vertical="center" wrapText="1"/>
    </xf>
    <xf numFmtId="165" fontId="5" fillId="2" borderId="42" xfId="0" applyNumberFormat="1" applyFont="1" applyFill="1" applyBorder="1" applyAlignment="1">
      <alignment horizontal="center" vertical="center" wrapText="1"/>
    </xf>
    <xf numFmtId="164" fontId="5" fillId="2" borderId="60" xfId="2" applyFont="1" applyFill="1" applyBorder="1" applyAlignment="1">
      <alignment horizontal="center" vertical="center"/>
    </xf>
    <xf numFmtId="164" fontId="5" fillId="2" borderId="7" xfId="2" applyFont="1" applyFill="1" applyBorder="1" applyAlignment="1">
      <alignment horizontal="center" vertical="center"/>
    </xf>
    <xf numFmtId="164" fontId="5" fillId="7" borderId="7" xfId="2" applyFont="1" applyFill="1" applyBorder="1" applyAlignment="1">
      <alignment horizontal="center" vertical="center"/>
    </xf>
    <xf numFmtId="164" fontId="5" fillId="7" borderId="42" xfId="2" applyFont="1" applyFill="1" applyBorder="1" applyAlignment="1">
      <alignment horizontal="center" vertical="center"/>
    </xf>
    <xf numFmtId="43" fontId="5" fillId="2" borderId="7" xfId="1" applyFont="1" applyFill="1" applyBorder="1" applyAlignment="1">
      <alignment horizontal="center" vertical="center"/>
    </xf>
    <xf numFmtId="164" fontId="5" fillId="7" borderId="40" xfId="2" applyFont="1" applyFill="1" applyBorder="1" applyAlignment="1">
      <alignment horizontal="center" vertical="center"/>
    </xf>
    <xf numFmtId="0" fontId="3" fillId="8" borderId="7" xfId="0" applyFont="1" applyFill="1" applyBorder="1" applyAlignment="1">
      <alignment horizontal="center"/>
    </xf>
    <xf numFmtId="0" fontId="8" fillId="8" borderId="0" xfId="0" applyFont="1" applyFill="1" applyAlignment="1">
      <alignment horizontal="center"/>
    </xf>
    <xf numFmtId="10" fontId="5" fillId="2" borderId="6" xfId="0" applyNumberFormat="1" applyFont="1" applyFill="1" applyBorder="1" applyAlignment="1">
      <alignment horizontal="center" vertical="center" wrapText="1"/>
    </xf>
    <xf numFmtId="168" fontId="3" fillId="8" borderId="26" xfId="0" applyNumberFormat="1" applyFont="1" applyFill="1" applyBorder="1" applyAlignment="1">
      <alignment horizontal="center" vertical="center"/>
    </xf>
    <xf numFmtId="168" fontId="3" fillId="8" borderId="8" xfId="0" applyNumberFormat="1" applyFont="1" applyFill="1" applyBorder="1" applyAlignment="1">
      <alignment horizontal="center" vertical="center"/>
    </xf>
    <xf numFmtId="168" fontId="3" fillId="8" borderId="27" xfId="0" applyNumberFormat="1" applyFont="1" applyFill="1" applyBorder="1" applyAlignment="1">
      <alignment horizontal="center" vertical="center"/>
    </xf>
    <xf numFmtId="168" fontId="3" fillId="8" borderId="19" xfId="0" applyNumberFormat="1" applyFont="1" applyFill="1" applyBorder="1" applyAlignment="1">
      <alignment horizontal="center" vertical="center"/>
    </xf>
    <xf numFmtId="168" fontId="3" fillId="8" borderId="21" xfId="0" applyNumberFormat="1" applyFont="1" applyFill="1" applyBorder="1" applyAlignment="1">
      <alignment horizontal="center" vertical="center"/>
    </xf>
    <xf numFmtId="0" fontId="3" fillId="8" borderId="8" xfId="0" applyFont="1" applyFill="1" applyBorder="1" applyAlignment="1">
      <alignment wrapText="1"/>
    </xf>
    <xf numFmtId="164" fontId="3" fillId="8" borderId="8" xfId="2" applyFont="1" applyFill="1" applyBorder="1"/>
    <xf numFmtId="164" fontId="4" fillId="8" borderId="19" xfId="2" applyFont="1" applyFill="1" applyBorder="1"/>
    <xf numFmtId="43" fontId="3" fillId="8" borderId="26" xfId="1" applyFont="1" applyFill="1" applyBorder="1"/>
    <xf numFmtId="43" fontId="3" fillId="8" borderId="8" xfId="1" applyFont="1" applyFill="1" applyBorder="1"/>
    <xf numFmtId="43" fontId="3" fillId="8" borderId="19" xfId="1" applyFont="1" applyFill="1" applyBorder="1"/>
    <xf numFmtId="4" fontId="3" fillId="0" borderId="1" xfId="0" applyNumberFormat="1" applyFont="1" applyBorder="1"/>
    <xf numFmtId="0" fontId="3" fillId="8" borderId="20" xfId="0" applyFont="1" applyFill="1" applyBorder="1" applyAlignment="1">
      <alignment horizontal="center" vertical="center"/>
    </xf>
    <xf numFmtId="43" fontId="7" fillId="0" borderId="17" xfId="1" applyFont="1" applyFill="1" applyBorder="1" applyAlignment="1">
      <alignment vertical="center"/>
    </xf>
    <xf numFmtId="43" fontId="3" fillId="0" borderId="18" xfId="1" applyFont="1" applyFill="1" applyBorder="1"/>
    <xf numFmtId="166" fontId="3" fillId="0" borderId="3" xfId="1" applyNumberFormat="1" applyFont="1" applyFill="1" applyBorder="1"/>
    <xf numFmtId="43" fontId="3" fillId="0" borderId="3" xfId="1" applyFont="1" applyFill="1" applyBorder="1"/>
    <xf numFmtId="164" fontId="7" fillId="0" borderId="2" xfId="2" applyFont="1" applyFill="1" applyBorder="1"/>
    <xf numFmtId="43" fontId="3" fillId="0" borderId="24" xfId="1" applyFont="1" applyFill="1" applyBorder="1"/>
    <xf numFmtId="43" fontId="3" fillId="0" borderId="25" xfId="1" applyFont="1" applyFill="1" applyBorder="1"/>
    <xf numFmtId="43" fontId="3" fillId="0" borderId="23" xfId="1" applyFont="1" applyFill="1" applyBorder="1"/>
    <xf numFmtId="43" fontId="3" fillId="0" borderId="43" xfId="1" applyFont="1" applyFill="1" applyBorder="1"/>
    <xf numFmtId="168" fontId="7" fillId="0" borderId="2" xfId="2" applyNumberFormat="1" applyFont="1" applyFill="1" applyBorder="1" applyAlignment="1">
      <alignment horizontal="center" vertical="center"/>
    </xf>
    <xf numFmtId="165" fontId="3" fillId="0" borderId="3" xfId="1" applyNumberFormat="1" applyFont="1" applyFill="1" applyBorder="1"/>
    <xf numFmtId="166" fontId="3" fillId="0" borderId="1" xfId="1" applyNumberFormat="1" applyFont="1" applyFill="1" applyBorder="1"/>
    <xf numFmtId="14" fontId="3" fillId="0" borderId="4" xfId="0" applyNumberFormat="1" applyFont="1" applyBorder="1"/>
    <xf numFmtId="165" fontId="3" fillId="0" borderId="4" xfId="0" applyNumberFormat="1" applyFont="1" applyBorder="1"/>
    <xf numFmtId="0" fontId="17" fillId="0" borderId="1" xfId="0" applyFont="1" applyBorder="1" applyAlignment="1">
      <alignment wrapText="1"/>
    </xf>
    <xf numFmtId="166" fontId="17" fillId="0" borderId="1" xfId="0" applyNumberFormat="1" applyFont="1" applyBorder="1" applyAlignment="1">
      <alignment horizontal="center" vertical="center"/>
    </xf>
    <xf numFmtId="43" fontId="17" fillId="0" borderId="2" xfId="1" applyFont="1" applyFill="1" applyBorder="1" applyAlignment="1">
      <alignment horizontal="right" vertical="center"/>
    </xf>
    <xf numFmtId="168" fontId="17" fillId="0" borderId="17" xfId="0" applyNumberFormat="1" applyFont="1" applyBorder="1" applyAlignment="1">
      <alignment horizontal="center" vertical="center"/>
    </xf>
    <xf numFmtId="168" fontId="17" fillId="0" borderId="1" xfId="0" applyNumberFormat="1" applyFont="1" applyBorder="1" applyAlignment="1">
      <alignment horizontal="center" vertical="center"/>
    </xf>
    <xf numFmtId="168" fontId="17" fillId="0" borderId="18" xfId="0" applyNumberFormat="1" applyFont="1" applyBorder="1" applyAlignment="1">
      <alignment horizontal="center" vertical="center"/>
    </xf>
    <xf numFmtId="168" fontId="17" fillId="0" borderId="2" xfId="0" applyNumberFormat="1" applyFont="1" applyBorder="1" applyAlignment="1">
      <alignment horizontal="center" vertical="center"/>
    </xf>
    <xf numFmtId="168" fontId="17" fillId="0" borderId="48" xfId="0" applyNumberFormat="1" applyFont="1" applyBorder="1" applyAlignment="1">
      <alignment horizontal="center" vertical="center"/>
    </xf>
    <xf numFmtId="10" fontId="17" fillId="0" borderId="3" xfId="0" applyNumberFormat="1" applyFont="1" applyBorder="1" applyAlignment="1">
      <alignment horizontal="center" vertical="center"/>
    </xf>
    <xf numFmtId="0" fontId="17" fillId="0" borderId="1" xfId="0" applyFont="1" applyBorder="1" applyAlignment="1">
      <alignment horizontal="center" vertical="center"/>
    </xf>
    <xf numFmtId="164" fontId="17" fillId="0" borderId="1" xfId="2" applyFont="1" applyFill="1" applyBorder="1"/>
    <xf numFmtId="164" fontId="17" fillId="0" borderId="3" xfId="2" applyFont="1" applyFill="1" applyBorder="1"/>
    <xf numFmtId="164" fontId="35" fillId="0" borderId="1" xfId="2" applyFont="1" applyFill="1" applyBorder="1"/>
    <xf numFmtId="164" fontId="35" fillId="0" borderId="2" xfId="2" applyFont="1" applyFill="1" applyBorder="1"/>
    <xf numFmtId="43" fontId="17" fillId="0" borderId="17" xfId="1" applyFont="1" applyFill="1" applyBorder="1"/>
    <xf numFmtId="43" fontId="17" fillId="0" borderId="49" xfId="1" applyFont="1" applyFill="1" applyBorder="1"/>
    <xf numFmtId="0" fontId="17" fillId="0" borderId="0" xfId="0" applyFont="1"/>
    <xf numFmtId="14" fontId="17" fillId="0" borderId="1" xfId="0" applyNumberFormat="1" applyFont="1" applyBorder="1"/>
    <xf numFmtId="165" fontId="17" fillId="0" borderId="1" xfId="0" applyNumberFormat="1" applyFont="1" applyBorder="1"/>
    <xf numFmtId="165" fontId="17" fillId="0" borderId="1" xfId="0" applyNumberFormat="1" applyFont="1" applyBorder="1" applyAlignment="1">
      <alignment vertical="center"/>
    </xf>
    <xf numFmtId="165" fontId="17" fillId="0" borderId="1" xfId="1" applyNumberFormat="1" applyFont="1" applyFill="1" applyBorder="1"/>
    <xf numFmtId="166" fontId="17" fillId="0" borderId="1" xfId="1" applyNumberFormat="1" applyFont="1" applyFill="1" applyBorder="1"/>
    <xf numFmtId="164" fontId="17" fillId="0" borderId="0" xfId="2" applyFont="1" applyFill="1"/>
    <xf numFmtId="164" fontId="17" fillId="0" borderId="0" xfId="2" applyFont="1" applyFill="1" applyBorder="1"/>
    <xf numFmtId="164" fontId="35" fillId="0" borderId="0" xfId="2" applyFont="1" applyFill="1" applyBorder="1"/>
    <xf numFmtId="43" fontId="35" fillId="0" borderId="0" xfId="1" applyFont="1" applyFill="1" applyBorder="1"/>
    <xf numFmtId="43" fontId="35" fillId="0" borderId="1" xfId="1" applyFont="1" applyFill="1" applyBorder="1"/>
    <xf numFmtId="165" fontId="17" fillId="8" borderId="1" xfId="1" applyNumberFormat="1" applyFont="1" applyFill="1" applyBorder="1"/>
    <xf numFmtId="166" fontId="17" fillId="8" borderId="1" xfId="1" applyNumberFormat="1" applyFont="1" applyFill="1" applyBorder="1"/>
    <xf numFmtId="0" fontId="17" fillId="8" borderId="1" xfId="0" applyFont="1" applyFill="1" applyBorder="1" applyAlignment="1">
      <alignment horizontal="center" vertical="center"/>
    </xf>
    <xf numFmtId="0" fontId="5" fillId="2" borderId="5" xfId="0" applyFont="1" applyFill="1" applyBorder="1" applyAlignment="1">
      <alignment horizontal="center" vertical="center" wrapText="1"/>
    </xf>
    <xf numFmtId="0" fontId="11" fillId="8" borderId="2" xfId="0" applyFont="1" applyFill="1" applyBorder="1"/>
    <xf numFmtId="0" fontId="8" fillId="8" borderId="2" xfId="0" applyFont="1" applyFill="1" applyBorder="1"/>
    <xf numFmtId="43" fontId="3" fillId="0" borderId="1" xfId="1" applyFont="1" applyFill="1" applyBorder="1" applyAlignment="1"/>
    <xf numFmtId="2" fontId="4" fillId="0" borderId="1" xfId="0" applyNumberFormat="1" applyFont="1" applyBorder="1" applyAlignment="1">
      <alignment horizontal="center" vertical="center"/>
    </xf>
    <xf numFmtId="43" fontId="4" fillId="0" borderId="1" xfId="1" applyFont="1" applyBorder="1" applyAlignment="1">
      <alignment horizontal="center" vertical="center"/>
    </xf>
    <xf numFmtId="0" fontId="4" fillId="0" borderId="1" xfId="0" applyFont="1" applyBorder="1"/>
    <xf numFmtId="43" fontId="5" fillId="2" borderId="1" xfId="1" applyFont="1" applyFill="1" applyBorder="1" applyAlignment="1">
      <alignment horizontal="center" vertical="center" wrapText="1"/>
    </xf>
    <xf numFmtId="10" fontId="5" fillId="2" borderId="1" xfId="0" applyNumberFormat="1" applyFont="1" applyFill="1" applyBorder="1" applyAlignment="1">
      <alignment horizontal="center" vertical="center" wrapText="1"/>
    </xf>
    <xf numFmtId="43" fontId="5" fillId="7" borderId="1" xfId="1" applyFont="1" applyFill="1" applyBorder="1" applyAlignment="1">
      <alignment horizontal="center" vertical="center"/>
    </xf>
    <xf numFmtId="43" fontId="5" fillId="2" borderId="1" xfId="1" applyFont="1" applyFill="1" applyBorder="1" applyAlignment="1">
      <alignment horizontal="center" vertical="center"/>
    </xf>
    <xf numFmtId="0" fontId="4" fillId="2" borderId="1" xfId="0" applyFont="1" applyFill="1" applyBorder="1"/>
    <xf numFmtId="0" fontId="12" fillId="8" borderId="1" xfId="0" applyFont="1" applyFill="1" applyBorder="1"/>
    <xf numFmtId="168" fontId="3" fillId="0" borderId="0" xfId="0" applyNumberFormat="1" applyFont="1" applyAlignment="1">
      <alignment horizontal="center" vertical="center"/>
    </xf>
    <xf numFmtId="166" fontId="3" fillId="8" borderId="0" xfId="1" applyNumberFormat="1" applyFont="1" applyFill="1" applyBorder="1"/>
    <xf numFmtId="164" fontId="4" fillId="0" borderId="0" xfId="2" applyFont="1" applyBorder="1"/>
    <xf numFmtId="0" fontId="17" fillId="0" borderId="1" xfId="0" applyFont="1" applyBorder="1" applyAlignment="1">
      <alignment horizontal="center" vertical="center" wrapText="1"/>
    </xf>
    <xf numFmtId="43" fontId="17" fillId="0" borderId="1" xfId="1" applyFont="1" applyBorder="1" applyAlignment="1">
      <alignment horizontal="center" vertical="center"/>
    </xf>
    <xf numFmtId="164" fontId="17" fillId="0" borderId="1" xfId="2" applyFont="1" applyBorder="1"/>
    <xf numFmtId="43" fontId="17" fillId="0" borderId="1" xfId="1" applyFont="1" applyBorder="1"/>
    <xf numFmtId="0" fontId="17" fillId="0" borderId="1" xfId="0" applyFont="1" applyBorder="1" applyAlignment="1">
      <alignment vertical="center"/>
    </xf>
    <xf numFmtId="43" fontId="35" fillId="0" borderId="1" xfId="1" applyFont="1" applyBorder="1"/>
    <xf numFmtId="0" fontId="17" fillId="0" borderId="1" xfId="0" applyFont="1" applyBorder="1" applyAlignment="1">
      <alignment horizontal="center"/>
    </xf>
    <xf numFmtId="0" fontId="17" fillId="0" borderId="2" xfId="0" applyFont="1" applyBorder="1"/>
    <xf numFmtId="0" fontId="17" fillId="0" borderId="2" xfId="0" applyFont="1" applyBorder="1" applyAlignment="1">
      <alignment horizontal="center" vertical="center"/>
    </xf>
    <xf numFmtId="0" fontId="17" fillId="8" borderId="1" xfId="0" applyFont="1" applyFill="1" applyBorder="1" applyAlignment="1">
      <alignment horizontal="center" vertical="center" wrapText="1"/>
    </xf>
    <xf numFmtId="0" fontId="17" fillId="8" borderId="1" xfId="0" applyFont="1" applyFill="1" applyBorder="1"/>
    <xf numFmtId="14" fontId="17" fillId="8" borderId="1" xfId="0" applyNumberFormat="1" applyFont="1" applyFill="1" applyBorder="1"/>
    <xf numFmtId="43" fontId="17" fillId="8" borderId="1" xfId="1" applyFont="1" applyFill="1" applyBorder="1" applyAlignment="1">
      <alignment horizontal="center" vertical="center"/>
    </xf>
    <xf numFmtId="164" fontId="17" fillId="8" borderId="1" xfId="2" applyFont="1" applyFill="1" applyBorder="1"/>
    <xf numFmtId="0" fontId="17" fillId="8" borderId="1" xfId="0" applyFont="1" applyFill="1" applyBorder="1" applyAlignment="1">
      <alignment vertical="center"/>
    </xf>
    <xf numFmtId="43" fontId="35" fillId="8" borderId="1" xfId="1" applyFont="1" applyFill="1" applyBorder="1"/>
    <xf numFmtId="43" fontId="17" fillId="0" borderId="1" xfId="1" applyFont="1" applyFill="1" applyBorder="1" applyAlignment="1">
      <alignment horizontal="center" vertical="center"/>
    </xf>
    <xf numFmtId="43" fontId="17" fillId="0" borderId="1" xfId="1" applyFont="1" applyFill="1" applyBorder="1" applyAlignment="1">
      <alignment horizontal="right"/>
    </xf>
    <xf numFmtId="0" fontId="17" fillId="0" borderId="1" xfId="0" applyFont="1" applyBorder="1" applyAlignment="1">
      <alignment vertical="center" wrapText="1"/>
    </xf>
    <xf numFmtId="0" fontId="17" fillId="0" borderId="4" xfId="0" applyFont="1" applyBorder="1"/>
    <xf numFmtId="0" fontId="17" fillId="0" borderId="5" xfId="0" applyFont="1" applyBorder="1"/>
    <xf numFmtId="0" fontId="17" fillId="0" borderId="4" xfId="0" applyFont="1" applyBorder="1" applyAlignment="1">
      <alignment vertical="center" wrapText="1"/>
    </xf>
    <xf numFmtId="44" fontId="17" fillId="0" borderId="1" xfId="0" applyNumberFormat="1" applyFont="1" applyBorder="1"/>
    <xf numFmtId="43" fontId="17" fillId="0" borderId="1" xfId="0" applyNumberFormat="1" applyFont="1" applyBorder="1" applyAlignment="1">
      <alignment horizontal="center" vertical="center"/>
    </xf>
    <xf numFmtId="168" fontId="17" fillId="0" borderId="1" xfId="0" applyNumberFormat="1" applyFont="1" applyBorder="1" applyAlignment="1">
      <alignment vertical="center"/>
    </xf>
    <xf numFmtId="10" fontId="17" fillId="0" borderId="1" xfId="0" applyNumberFormat="1" applyFont="1" applyBorder="1" applyAlignment="1">
      <alignment horizontal="center" vertical="center"/>
    </xf>
    <xf numFmtId="14" fontId="17" fillId="0" borderId="1" xfId="0" applyNumberFormat="1" applyFont="1" applyBorder="1" applyAlignment="1">
      <alignment horizontal="center"/>
    </xf>
    <xf numFmtId="43" fontId="3" fillId="4" borderId="1" xfId="1" applyFont="1" applyFill="1" applyBorder="1"/>
    <xf numFmtId="43" fontId="17" fillId="4" borderId="1" xfId="1" applyFont="1" applyFill="1" applyBorder="1"/>
    <xf numFmtId="0" fontId="17" fillId="4" borderId="1" xfId="0" applyFont="1" applyFill="1" applyBorder="1"/>
    <xf numFmtId="0" fontId="3" fillId="4" borderId="1" xfId="0" applyFont="1" applyFill="1" applyBorder="1" applyAlignment="1">
      <alignment horizontal="center"/>
    </xf>
    <xf numFmtId="0" fontId="7" fillId="4" borderId="1" xfId="0" applyFont="1" applyFill="1" applyBorder="1" applyAlignment="1">
      <alignment horizontal="center"/>
    </xf>
    <xf numFmtId="0" fontId="7" fillId="4" borderId="1" xfId="0" applyFont="1" applyFill="1" applyBorder="1"/>
    <xf numFmtId="0" fontId="3" fillId="4" borderId="1" xfId="0" applyFont="1" applyFill="1" applyBorder="1" applyAlignment="1">
      <alignment horizontal="center" vertical="center"/>
    </xf>
    <xf numFmtId="43" fontId="3" fillId="4" borderId="1" xfId="1" applyFont="1" applyFill="1" applyBorder="1" applyAlignment="1">
      <alignment horizontal="center" vertical="center"/>
    </xf>
    <xf numFmtId="164" fontId="3" fillId="4" borderId="1" xfId="2" applyFont="1" applyFill="1" applyBorder="1"/>
    <xf numFmtId="44" fontId="3" fillId="4" borderId="1" xfId="0" applyNumberFormat="1" applyFont="1" applyFill="1" applyBorder="1"/>
    <xf numFmtId="43" fontId="3" fillId="4" borderId="1" xfId="0" applyNumberFormat="1" applyFont="1" applyFill="1" applyBorder="1" applyAlignment="1">
      <alignment horizontal="center" vertical="center"/>
    </xf>
    <xf numFmtId="10" fontId="7" fillId="4" borderId="1" xfId="0" applyNumberFormat="1" applyFont="1" applyFill="1" applyBorder="1" applyAlignment="1">
      <alignment horizontal="center" vertical="center"/>
    </xf>
    <xf numFmtId="0" fontId="3" fillId="4" borderId="1" xfId="0" applyFont="1" applyFill="1" applyBorder="1" applyAlignment="1">
      <alignment vertical="center"/>
    </xf>
    <xf numFmtId="0" fontId="3" fillId="4" borderId="1" xfId="0" applyFont="1" applyFill="1" applyBorder="1" applyAlignment="1">
      <alignment horizontal="center" vertical="center" wrapText="1"/>
    </xf>
    <xf numFmtId="43" fontId="4" fillId="4" borderId="1" xfId="1" applyFont="1" applyFill="1" applyBorder="1"/>
    <xf numFmtId="0" fontId="3" fillId="4" borderId="0" xfId="0" applyFont="1" applyFill="1"/>
    <xf numFmtId="0" fontId="17" fillId="0" borderId="4" xfId="0" applyFont="1" applyBorder="1" applyAlignment="1">
      <alignment horizontal="center" vertical="center"/>
    </xf>
    <xf numFmtId="0" fontId="17" fillId="0" borderId="8" xfId="0" applyFont="1" applyBorder="1" applyAlignment="1">
      <alignment horizontal="center" vertical="center"/>
    </xf>
    <xf numFmtId="43" fontId="31" fillId="0" borderId="1" xfId="1" applyFont="1" applyFill="1" applyBorder="1"/>
    <xf numFmtId="0" fontId="17" fillId="0" borderId="7" xfId="0" applyFont="1" applyBorder="1" applyAlignment="1">
      <alignment horizontal="center" vertical="center"/>
    </xf>
    <xf numFmtId="14" fontId="17" fillId="0" borderId="4" xfId="0" applyNumberFormat="1" applyFont="1" applyBorder="1" applyAlignment="1">
      <alignment horizontal="center" vertical="center"/>
    </xf>
    <xf numFmtId="14" fontId="17" fillId="0" borderId="7" xfId="0" applyNumberFormat="1" applyFont="1" applyBorder="1" applyAlignment="1">
      <alignment horizontal="center" vertical="center"/>
    </xf>
    <xf numFmtId="0" fontId="17" fillId="0" borderId="1" xfId="0" applyFont="1" applyBorder="1" applyAlignment="1">
      <alignment horizontal="left"/>
    </xf>
    <xf numFmtId="0" fontId="3" fillId="4" borderId="1" xfId="0" applyFont="1" applyFill="1" applyBorder="1" applyAlignment="1">
      <alignment horizontal="left"/>
    </xf>
    <xf numFmtId="0" fontId="17" fillId="8" borderId="1" xfId="0" applyFont="1" applyFill="1" applyBorder="1" applyAlignment="1">
      <alignment horizontal="left"/>
    </xf>
    <xf numFmtId="14" fontId="17" fillId="8" borderId="1" xfId="0" applyNumberFormat="1" applyFont="1" applyFill="1" applyBorder="1" applyAlignment="1">
      <alignment horizontal="center" vertical="center"/>
    </xf>
    <xf numFmtId="43" fontId="17" fillId="8" borderId="1" xfId="1" applyFont="1" applyFill="1" applyBorder="1" applyAlignment="1">
      <alignment horizontal="right" vertical="center"/>
    </xf>
    <xf numFmtId="164" fontId="17" fillId="8" borderId="1" xfId="2" applyFont="1" applyFill="1" applyBorder="1" applyAlignment="1">
      <alignment horizontal="left"/>
    </xf>
    <xf numFmtId="168" fontId="17" fillId="8" borderId="1" xfId="0" applyNumberFormat="1" applyFont="1" applyFill="1" applyBorder="1" applyAlignment="1">
      <alignment horizontal="center" vertical="center"/>
    </xf>
    <xf numFmtId="168" fontId="17" fillId="8" borderId="1" xfId="0" applyNumberFormat="1" applyFont="1" applyFill="1" applyBorder="1" applyAlignment="1">
      <alignment vertical="center"/>
    </xf>
    <xf numFmtId="10" fontId="17" fillId="8" borderId="1" xfId="0" applyNumberFormat="1" applyFont="1" applyFill="1" applyBorder="1" applyAlignment="1">
      <alignment horizontal="center" vertical="center"/>
    </xf>
    <xf numFmtId="0" fontId="17" fillId="8" borderId="1" xfId="0" applyFont="1" applyFill="1" applyBorder="1" applyAlignment="1">
      <alignment horizontal="center"/>
    </xf>
    <xf numFmtId="0" fontId="17" fillId="4" borderId="1" xfId="0" applyFont="1" applyFill="1" applyBorder="1" applyAlignment="1">
      <alignment horizontal="left"/>
    </xf>
    <xf numFmtId="0" fontId="17" fillId="0" borderId="0" xfId="0" applyFont="1" applyAlignment="1">
      <alignment horizontal="left"/>
    </xf>
    <xf numFmtId="166" fontId="17" fillId="8" borderId="1" xfId="0" applyNumberFormat="1" applyFont="1" applyFill="1" applyBorder="1" applyAlignment="1">
      <alignment horizontal="center" vertical="center"/>
    </xf>
    <xf numFmtId="43" fontId="17" fillId="8" borderId="1" xfId="1" applyFont="1" applyFill="1" applyBorder="1" applyAlignment="1">
      <alignment horizontal="right" vertical="center" wrapText="1"/>
    </xf>
    <xf numFmtId="0" fontId="7" fillId="4" borderId="1" xfId="0" applyFont="1" applyFill="1" applyBorder="1" applyAlignment="1">
      <alignment horizontal="left"/>
    </xf>
    <xf numFmtId="43" fontId="3" fillId="4" borderId="1" xfId="0" applyNumberFormat="1" applyFont="1" applyFill="1" applyBorder="1"/>
    <xf numFmtId="43" fontId="7" fillId="4" borderId="1" xfId="1" applyFont="1" applyFill="1" applyBorder="1"/>
    <xf numFmtId="14" fontId="3" fillId="4" borderId="1" xfId="0" applyNumberFormat="1" applyFont="1" applyFill="1" applyBorder="1" applyAlignment="1">
      <alignment horizontal="center" vertical="center"/>
    </xf>
    <xf numFmtId="43" fontId="7" fillId="4" borderId="1" xfId="1" applyFont="1" applyFill="1" applyBorder="1" applyAlignment="1">
      <alignment horizontal="right" vertical="center" wrapText="1"/>
    </xf>
    <xf numFmtId="0" fontId="7" fillId="4" borderId="1" xfId="0" applyFont="1" applyFill="1" applyBorder="1" applyAlignment="1">
      <alignment horizontal="center" vertical="center"/>
    </xf>
    <xf numFmtId="43" fontId="8" fillId="4" borderId="1" xfId="1" applyFont="1" applyFill="1" applyBorder="1"/>
    <xf numFmtId="43" fontId="3" fillId="4" borderId="1" xfId="1" applyFont="1" applyFill="1" applyBorder="1" applyAlignment="1">
      <alignment horizontal="left"/>
    </xf>
    <xf numFmtId="14" fontId="3" fillId="4" borderId="1" xfId="0" applyNumberFormat="1" applyFont="1" applyFill="1" applyBorder="1"/>
    <xf numFmtId="43" fontId="0" fillId="4" borderId="1" xfId="1" applyFont="1" applyFill="1" applyBorder="1"/>
    <xf numFmtId="14" fontId="7" fillId="4" borderId="1" xfId="0" applyNumberFormat="1" applyFont="1" applyFill="1" applyBorder="1" applyAlignment="1">
      <alignment horizontal="center" vertical="center"/>
    </xf>
    <xf numFmtId="164" fontId="3" fillId="4" borderId="1" xfId="2" applyFont="1" applyFill="1" applyBorder="1" applyAlignment="1">
      <alignment horizontal="left"/>
    </xf>
    <xf numFmtId="0" fontId="3" fillId="4" borderId="0" xfId="0" applyFont="1" applyFill="1" applyAlignment="1">
      <alignment horizontal="left"/>
    </xf>
    <xf numFmtId="166" fontId="7" fillId="4" borderId="1" xfId="0" applyNumberFormat="1" applyFont="1" applyFill="1" applyBorder="1" applyAlignment="1">
      <alignment horizontal="center" vertical="center"/>
    </xf>
    <xf numFmtId="166" fontId="3" fillId="4" borderId="1" xfId="0" applyNumberFormat="1" applyFont="1" applyFill="1" applyBorder="1" applyAlignment="1">
      <alignment horizontal="center" vertical="center"/>
    </xf>
    <xf numFmtId="0" fontId="7" fillId="4" borderId="1" xfId="0" applyFont="1" applyFill="1" applyBorder="1" applyAlignment="1">
      <alignment horizontal="left" wrapText="1"/>
    </xf>
    <xf numFmtId="43" fontId="17" fillId="4" borderId="1" xfId="1" applyFont="1" applyFill="1" applyBorder="1" applyAlignment="1">
      <alignment horizontal="left"/>
    </xf>
    <xf numFmtId="0" fontId="7" fillId="4" borderId="2" xfId="0" applyFont="1" applyFill="1" applyBorder="1" applyAlignment="1">
      <alignment horizontal="center" vertical="center"/>
    </xf>
    <xf numFmtId="0" fontId="7" fillId="4" borderId="1" xfId="0" applyFont="1" applyFill="1" applyBorder="1" applyAlignment="1">
      <alignment horizontal="center" vertical="center" wrapText="1"/>
    </xf>
    <xf numFmtId="43" fontId="3" fillId="4" borderId="1" xfId="1" applyFont="1" applyFill="1" applyBorder="1" applyAlignment="1">
      <alignment horizontal="right" vertical="center"/>
    </xf>
    <xf numFmtId="43" fontId="9" fillId="4" borderId="1" xfId="1" applyFont="1" applyFill="1" applyBorder="1" applyAlignment="1">
      <alignment horizontal="right" vertical="center"/>
    </xf>
    <xf numFmtId="164" fontId="7" fillId="4" borderId="1" xfId="2" applyFont="1" applyFill="1" applyBorder="1" applyAlignment="1">
      <alignment vertical="center"/>
    </xf>
    <xf numFmtId="164" fontId="7" fillId="4" borderId="1" xfId="2" applyFont="1" applyFill="1" applyBorder="1" applyAlignment="1">
      <alignment wrapText="1"/>
    </xf>
    <xf numFmtId="0" fontId="7" fillId="4" borderId="0" xfId="0" applyFont="1" applyFill="1"/>
    <xf numFmtId="43" fontId="17" fillId="0" borderId="1" xfId="1" applyFont="1" applyFill="1" applyBorder="1" applyAlignment="1">
      <alignment horizontal="right" vertical="center"/>
    </xf>
    <xf numFmtId="43" fontId="17" fillId="5" borderId="1" xfId="1" applyFont="1" applyFill="1" applyBorder="1"/>
    <xf numFmtId="0" fontId="17" fillId="5" borderId="1" xfId="0" applyFont="1" applyFill="1" applyBorder="1"/>
    <xf numFmtId="0" fontId="17" fillId="5" borderId="0" xfId="0" applyFont="1" applyFill="1"/>
    <xf numFmtId="0" fontId="17" fillId="8" borderId="1" xfId="0" applyFont="1" applyFill="1" applyBorder="1" applyAlignment="1">
      <alignment wrapText="1"/>
    </xf>
    <xf numFmtId="0" fontId="17" fillId="8" borderId="2" xfId="0" applyFont="1" applyFill="1" applyBorder="1" applyAlignment="1">
      <alignment wrapText="1"/>
    </xf>
    <xf numFmtId="0" fontId="17" fillId="8" borderId="1" xfId="0" applyFont="1" applyFill="1" applyBorder="1" applyAlignment="1">
      <alignment vertical="center" wrapText="1"/>
    </xf>
    <xf numFmtId="0" fontId="35" fillId="8" borderId="1" xfId="0" applyFont="1" applyFill="1" applyBorder="1"/>
    <xf numFmtId="164" fontId="35" fillId="8" borderId="1" xfId="2" applyFont="1" applyFill="1" applyBorder="1"/>
    <xf numFmtId="43" fontId="31" fillId="0" borderId="1" xfId="1" applyFont="1" applyBorder="1"/>
    <xf numFmtId="0" fontId="17" fillId="8" borderId="2" xfId="0" applyFont="1" applyFill="1" applyBorder="1"/>
    <xf numFmtId="0" fontId="7" fillId="4" borderId="1" xfId="2" applyNumberFormat="1" applyFont="1" applyFill="1" applyBorder="1" applyAlignment="1">
      <alignment horizontal="center" vertical="center"/>
    </xf>
    <xf numFmtId="0" fontId="17" fillId="0" borderId="4"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14" fontId="17" fillId="0" borderId="4" xfId="0" applyNumberFormat="1" applyFont="1" applyBorder="1" applyAlignment="1">
      <alignment horizontal="center" vertical="center"/>
    </xf>
    <xf numFmtId="14" fontId="17" fillId="0" borderId="7" xfId="0" applyNumberFormat="1" applyFont="1" applyBorder="1" applyAlignment="1">
      <alignment horizontal="center" vertical="center"/>
    </xf>
    <xf numFmtId="14" fontId="17" fillId="0" borderId="8" xfId="0" applyNumberFormat="1" applyFont="1" applyBorder="1" applyAlignment="1">
      <alignment horizontal="center" vertical="center"/>
    </xf>
    <xf numFmtId="0" fontId="3" fillId="4" borderId="1" xfId="0" applyFont="1" applyFill="1" applyBorder="1" applyAlignment="1">
      <alignment horizontal="center"/>
    </xf>
    <xf numFmtId="0" fontId="17" fillId="0" borderId="1" xfId="0" applyFont="1" applyBorder="1" applyAlignment="1">
      <alignment horizontal="center"/>
    </xf>
    <xf numFmtId="0" fontId="17" fillId="0" borderId="2" xfId="0" applyFont="1" applyBorder="1" applyAlignment="1">
      <alignment horizontal="center" vertical="center"/>
    </xf>
    <xf numFmtId="0" fontId="7" fillId="0" borderId="1" xfId="0" applyFont="1" applyBorder="1" applyAlignment="1">
      <alignment horizontal="center"/>
    </xf>
    <xf numFmtId="0" fontId="3" fillId="0" borderId="1" xfId="0" applyFont="1" applyBorder="1" applyAlignment="1">
      <alignment horizontal="center"/>
    </xf>
    <xf numFmtId="0" fontId="17" fillId="0" borderId="2" xfId="0" applyFont="1" applyBorder="1" applyAlignment="1">
      <alignment horizontal="center"/>
    </xf>
    <xf numFmtId="0" fontId="3" fillId="0" borderId="2" xfId="0" applyFont="1" applyBorder="1" applyAlignment="1">
      <alignment horizontal="center"/>
    </xf>
    <xf numFmtId="0" fontId="3" fillId="4" borderId="2" xfId="0" applyFont="1" applyFill="1" applyBorder="1" applyAlignment="1">
      <alignment horizontal="center"/>
    </xf>
    <xf numFmtId="0" fontId="3" fillId="4" borderId="2" xfId="0" applyFont="1" applyFill="1" applyBorder="1" applyAlignment="1">
      <alignment horizontal="center" vertical="center"/>
    </xf>
    <xf numFmtId="0" fontId="3" fillId="4" borderId="1" xfId="0" applyFont="1" applyFill="1" applyBorder="1" applyAlignment="1">
      <alignment horizontal="center" vertical="center"/>
    </xf>
    <xf numFmtId="0" fontId="17" fillId="0" borderId="1" xfId="0" applyFont="1" applyBorder="1" applyAlignment="1">
      <alignment horizontal="center" vertical="center"/>
    </xf>
    <xf numFmtId="0" fontId="17" fillId="0" borderId="2" xfId="0" applyFont="1" applyBorder="1" applyAlignment="1">
      <alignment horizontal="center" vertical="center" wrapText="1"/>
    </xf>
    <xf numFmtId="0" fontId="7" fillId="4" borderId="1" xfId="0" applyFont="1" applyFill="1" applyBorder="1" applyAlignment="1">
      <alignment horizontal="center"/>
    </xf>
    <xf numFmtId="0" fontId="17" fillId="8" borderId="2" xfId="0" applyFont="1" applyFill="1" applyBorder="1" applyAlignment="1">
      <alignment horizontal="center" vertical="center" wrapText="1"/>
    </xf>
    <xf numFmtId="14" fontId="3" fillId="0" borderId="1" xfId="0" applyNumberFormat="1" applyFont="1" applyBorder="1" applyAlignment="1">
      <alignment horizontal="center"/>
    </xf>
    <xf numFmtId="14" fontId="17" fillId="0" borderId="1" xfId="0" applyNumberFormat="1" applyFont="1" applyBorder="1" applyAlignment="1">
      <alignment horizontal="center"/>
    </xf>
    <xf numFmtId="0" fontId="3" fillId="0" borderId="1" xfId="0" applyFont="1" applyBorder="1" applyAlignment="1">
      <alignment horizontal="center" vertical="center"/>
    </xf>
    <xf numFmtId="14" fontId="3" fillId="4" borderId="1" xfId="0" applyNumberFormat="1" applyFont="1" applyFill="1" applyBorder="1" applyAlignment="1">
      <alignment horizontal="center"/>
    </xf>
    <xf numFmtId="0" fontId="7" fillId="4" borderId="1" xfId="0" applyFont="1" applyFill="1" applyBorder="1" applyAlignment="1">
      <alignment horizontal="center" vertical="center"/>
    </xf>
    <xf numFmtId="0" fontId="17" fillId="8" borderId="1" xfId="0" applyFont="1" applyFill="1" applyBorder="1" applyAlignment="1">
      <alignment horizontal="center" vertical="center"/>
    </xf>
    <xf numFmtId="0" fontId="7" fillId="4" borderId="2" xfId="0" applyFont="1" applyFill="1" applyBorder="1" applyAlignment="1">
      <alignment horizontal="center" vertical="center" wrapText="1"/>
    </xf>
    <xf numFmtId="0" fontId="7" fillId="4" borderId="4"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5" xfId="0" applyFont="1" applyFill="1" applyBorder="1" applyAlignment="1">
      <alignment horizontal="center" vertical="center" wrapText="1"/>
    </xf>
    <xf numFmtId="0" fontId="7" fillId="4" borderId="42" xfId="0" applyFont="1" applyFill="1" applyBorder="1" applyAlignment="1">
      <alignment horizontal="center" vertical="center" wrapText="1"/>
    </xf>
    <xf numFmtId="0" fontId="7" fillId="4" borderId="8" xfId="0" applyFont="1" applyFill="1" applyBorder="1" applyAlignment="1">
      <alignment horizontal="center" vertical="center"/>
    </xf>
    <xf numFmtId="0" fontId="7" fillId="4" borderId="4"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165" fontId="4" fillId="0" borderId="1" xfId="0" applyNumberFormat="1" applyFont="1" applyBorder="1" applyAlignment="1">
      <alignment horizontal="center" vertical="center"/>
    </xf>
    <xf numFmtId="2" fontId="4" fillId="0" borderId="1" xfId="0" applyNumberFormat="1" applyFont="1" applyBorder="1" applyAlignment="1">
      <alignment horizontal="center" vertical="center"/>
    </xf>
    <xf numFmtId="164" fontId="4" fillId="0" borderId="1" xfId="2" applyFont="1" applyFill="1" applyBorder="1" applyAlignment="1">
      <alignment horizontal="center" vertical="center"/>
    </xf>
    <xf numFmtId="0" fontId="7" fillId="4" borderId="1" xfId="0" applyFont="1" applyFill="1" applyBorder="1" applyAlignment="1">
      <alignment horizontal="center" vertical="center" wrapText="1"/>
    </xf>
    <xf numFmtId="0" fontId="4" fillId="0" borderId="1" xfId="0" applyFont="1" applyBorder="1" applyAlignment="1">
      <alignment horizontal="center"/>
    </xf>
    <xf numFmtId="0" fontId="17" fillId="8"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43" fontId="4" fillId="0" borderId="1" xfId="1" applyFont="1" applyFill="1" applyBorder="1" applyAlignment="1">
      <alignment horizontal="center" vertical="center"/>
    </xf>
    <xf numFmtId="0" fontId="17" fillId="0" borderId="1" xfId="0" applyFont="1" applyBorder="1" applyAlignment="1">
      <alignment horizontal="center" vertical="center" wrapText="1"/>
    </xf>
    <xf numFmtId="0" fontId="17" fillId="8" borderId="4" xfId="0" applyFont="1" applyFill="1" applyBorder="1" applyAlignment="1">
      <alignment horizontal="center" vertical="center"/>
    </xf>
    <xf numFmtId="0" fontId="17" fillId="8" borderId="8" xfId="0" applyFont="1" applyFill="1" applyBorder="1" applyAlignment="1">
      <alignment horizontal="center" vertical="center"/>
    </xf>
    <xf numFmtId="164" fontId="4" fillId="0" borderId="41" xfId="2" applyFont="1" applyBorder="1" applyAlignment="1">
      <alignment horizontal="center" vertical="center"/>
    </xf>
    <xf numFmtId="164" fontId="4" fillId="0" borderId="42" xfId="2" applyFont="1" applyBorder="1" applyAlignment="1">
      <alignment horizontal="center" vertical="center"/>
    </xf>
    <xf numFmtId="164" fontId="4" fillId="0" borderId="0" xfId="2" applyFont="1" applyAlignment="1">
      <alignment horizontal="center" vertical="center"/>
    </xf>
    <xf numFmtId="0" fontId="4" fillId="0" borderId="41" xfId="0" applyFont="1" applyBorder="1" applyAlignment="1">
      <alignment horizontal="center"/>
    </xf>
    <xf numFmtId="2" fontId="4" fillId="0" borderId="31" xfId="0" applyNumberFormat="1" applyFont="1" applyBorder="1" applyAlignment="1">
      <alignment horizontal="center" vertical="center"/>
    </xf>
    <xf numFmtId="2" fontId="4" fillId="0" borderId="0" xfId="0" applyNumberFormat="1" applyFont="1" applyAlignment="1">
      <alignment horizontal="center" vertical="center"/>
    </xf>
    <xf numFmtId="165" fontId="4" fillId="0" borderId="32" xfId="0" applyNumberFormat="1" applyFont="1" applyBorder="1" applyAlignment="1">
      <alignment horizontal="center" vertical="center"/>
    </xf>
    <xf numFmtId="165" fontId="4" fillId="0" borderId="33" xfId="0" applyNumberFormat="1" applyFont="1" applyBorder="1" applyAlignment="1">
      <alignment horizontal="center" vertical="center"/>
    </xf>
    <xf numFmtId="165" fontId="4" fillId="0" borderId="34" xfId="0" applyNumberFormat="1" applyFont="1" applyBorder="1" applyAlignment="1">
      <alignment horizontal="center" vertical="center"/>
    </xf>
    <xf numFmtId="2" fontId="4" fillId="0" borderId="35" xfId="0" applyNumberFormat="1" applyFont="1" applyBorder="1" applyAlignment="1">
      <alignment horizontal="center" vertical="center"/>
    </xf>
    <xf numFmtId="2" fontId="4" fillId="0" borderId="36" xfId="0" applyNumberFormat="1" applyFont="1" applyBorder="1" applyAlignment="1">
      <alignment horizontal="center" vertical="center"/>
    </xf>
    <xf numFmtId="2" fontId="4" fillId="0" borderId="37" xfId="0" applyNumberFormat="1" applyFont="1" applyBorder="1" applyAlignment="1">
      <alignment horizontal="center" vertical="center"/>
    </xf>
    <xf numFmtId="0" fontId="7" fillId="8" borderId="39" xfId="0" applyFont="1" applyFill="1" applyBorder="1" applyAlignment="1">
      <alignment horizontal="center"/>
    </xf>
    <xf numFmtId="0" fontId="7" fillId="8" borderId="20" xfId="0" applyFont="1" applyFill="1" applyBorder="1" applyAlignment="1">
      <alignment horizontal="center"/>
    </xf>
    <xf numFmtId="0" fontId="3" fillId="8" borderId="29" xfId="0" applyFont="1" applyFill="1" applyBorder="1" applyAlignment="1">
      <alignment horizontal="center"/>
    </xf>
    <xf numFmtId="0" fontId="3" fillId="8" borderId="8" xfId="0" applyFont="1" applyFill="1" applyBorder="1" applyAlignment="1">
      <alignment horizontal="center"/>
    </xf>
    <xf numFmtId="0" fontId="3" fillId="8" borderId="29" xfId="0" applyFont="1" applyFill="1" applyBorder="1" applyAlignment="1">
      <alignment horizontal="center" wrapText="1"/>
    </xf>
    <xf numFmtId="0" fontId="3" fillId="8" borderId="8" xfId="0" applyFont="1" applyFill="1" applyBorder="1" applyAlignment="1">
      <alignment horizontal="center" wrapText="1"/>
    </xf>
    <xf numFmtId="0" fontId="3" fillId="0" borderId="4" xfId="0" applyFont="1" applyBorder="1" applyAlignment="1">
      <alignment horizontal="center"/>
    </xf>
    <xf numFmtId="0" fontId="3" fillId="0" borderId="8" xfId="0" applyFont="1" applyBorder="1" applyAlignment="1">
      <alignment horizontal="center"/>
    </xf>
    <xf numFmtId="0" fontId="3" fillId="0" borderId="4" xfId="0" applyFont="1" applyBorder="1" applyAlignment="1">
      <alignment horizontal="center" wrapText="1"/>
    </xf>
    <xf numFmtId="0" fontId="3" fillId="0" borderId="8" xfId="0" applyFont="1" applyBorder="1" applyAlignment="1">
      <alignment horizontal="center" wrapText="1"/>
    </xf>
    <xf numFmtId="0" fontId="8" fillId="8" borderId="8" xfId="0" applyFont="1" applyFill="1" applyBorder="1" applyAlignment="1">
      <alignment horizontal="center"/>
    </xf>
    <xf numFmtId="0" fontId="8" fillId="8" borderId="19" xfId="0" applyFont="1" applyFill="1" applyBorder="1" applyAlignment="1">
      <alignment horizontal="center"/>
    </xf>
    <xf numFmtId="0" fontId="3" fillId="8" borderId="4" xfId="0" applyFont="1" applyFill="1" applyBorder="1" applyAlignment="1">
      <alignment horizontal="center" vertical="center"/>
    </xf>
    <xf numFmtId="0" fontId="3" fillId="8" borderId="7" xfId="0" applyFont="1" applyFill="1" applyBorder="1" applyAlignment="1">
      <alignment horizontal="center" vertical="center"/>
    </xf>
    <xf numFmtId="0" fontId="3" fillId="8" borderId="8" xfId="0" applyFont="1" applyFill="1" applyBorder="1" applyAlignment="1">
      <alignment horizontal="center" vertical="center"/>
    </xf>
    <xf numFmtId="14" fontId="3" fillId="8" borderId="4" xfId="0" applyNumberFormat="1" applyFont="1" applyFill="1" applyBorder="1" applyAlignment="1">
      <alignment horizontal="center" vertical="center"/>
    </xf>
    <xf numFmtId="14" fontId="3" fillId="8" borderId="7" xfId="0" applyNumberFormat="1" applyFont="1" applyFill="1" applyBorder="1" applyAlignment="1">
      <alignment horizontal="center" vertical="center"/>
    </xf>
    <xf numFmtId="14" fontId="3" fillId="8" borderId="8" xfId="0" applyNumberFormat="1" applyFont="1" applyFill="1" applyBorder="1" applyAlignment="1">
      <alignment horizontal="center" vertical="center"/>
    </xf>
    <xf numFmtId="0" fontId="3" fillId="8" borderId="4" xfId="0" applyFont="1" applyFill="1" applyBorder="1" applyAlignment="1">
      <alignment horizontal="center" vertical="center" wrapText="1"/>
    </xf>
    <xf numFmtId="0" fontId="3" fillId="8" borderId="7" xfId="0" applyFont="1" applyFill="1" applyBorder="1" applyAlignment="1">
      <alignment horizontal="center" vertical="center" wrapText="1"/>
    </xf>
    <xf numFmtId="0" fontId="3" fillId="8" borderId="8" xfId="0" applyFont="1" applyFill="1" applyBorder="1" applyAlignment="1">
      <alignment horizontal="center" vertical="center" wrapText="1"/>
    </xf>
    <xf numFmtId="0" fontId="3" fillId="8" borderId="1" xfId="0" applyFont="1" applyFill="1" applyBorder="1" applyAlignment="1">
      <alignment horizontal="center" vertical="center"/>
    </xf>
    <xf numFmtId="0" fontId="3" fillId="8" borderId="1" xfId="0" applyFont="1" applyFill="1" applyBorder="1" applyAlignment="1">
      <alignment horizontal="center" vertical="center" wrapText="1"/>
    </xf>
    <xf numFmtId="2" fontId="4" fillId="0" borderId="32" xfId="0" applyNumberFormat="1" applyFont="1" applyBorder="1" applyAlignment="1">
      <alignment horizontal="center" vertical="center"/>
    </xf>
    <xf numFmtId="2" fontId="4" fillId="0" borderId="33" xfId="0" applyNumberFormat="1" applyFont="1" applyBorder="1" applyAlignment="1">
      <alignment horizontal="center" vertical="center"/>
    </xf>
    <xf numFmtId="2" fontId="4" fillId="0" borderId="34" xfId="0" applyNumberFormat="1" applyFont="1" applyBorder="1" applyAlignment="1">
      <alignment horizontal="center" vertical="center"/>
    </xf>
    <xf numFmtId="2" fontId="4" fillId="0" borderId="9" xfId="0" applyNumberFormat="1" applyFont="1" applyBorder="1" applyAlignment="1">
      <alignment horizontal="center" vertical="center"/>
    </xf>
    <xf numFmtId="2" fontId="4" fillId="0" borderId="10" xfId="0" applyNumberFormat="1" applyFont="1" applyBorder="1" applyAlignment="1">
      <alignment horizontal="center" vertical="center"/>
    </xf>
    <xf numFmtId="2" fontId="4" fillId="0" borderId="11" xfId="0" applyNumberFormat="1" applyFont="1" applyBorder="1" applyAlignment="1">
      <alignment horizontal="center" vertical="center"/>
    </xf>
    <xf numFmtId="0" fontId="7" fillId="8" borderId="4" xfId="0" applyFont="1" applyFill="1" applyBorder="1" applyAlignment="1">
      <alignment horizontal="center" vertical="center"/>
    </xf>
    <xf numFmtId="0" fontId="7" fillId="8" borderId="7" xfId="0" applyFont="1" applyFill="1" applyBorder="1" applyAlignment="1">
      <alignment horizontal="center" vertical="center"/>
    </xf>
    <xf numFmtId="0" fontId="7" fillId="8" borderId="8" xfId="0" applyFont="1" applyFill="1" applyBorder="1" applyAlignment="1">
      <alignment horizontal="center" vertical="center"/>
    </xf>
    <xf numFmtId="0" fontId="7" fillId="8" borderId="4" xfId="0" applyFont="1" applyFill="1" applyBorder="1" applyAlignment="1">
      <alignment horizontal="center" vertical="center" wrapText="1"/>
    </xf>
    <xf numFmtId="0" fontId="7" fillId="8" borderId="7" xfId="0" applyFont="1" applyFill="1" applyBorder="1" applyAlignment="1">
      <alignment horizontal="center" vertical="center" wrapText="1"/>
    </xf>
    <xf numFmtId="0" fontId="7" fillId="8" borderId="8" xfId="0" applyFont="1" applyFill="1" applyBorder="1" applyAlignment="1">
      <alignment horizontal="center" vertical="center" wrapText="1"/>
    </xf>
    <xf numFmtId="14" fontId="7" fillId="8" borderId="4" xfId="0" applyNumberFormat="1" applyFont="1" applyFill="1" applyBorder="1" applyAlignment="1">
      <alignment horizontal="center" vertical="center"/>
    </xf>
    <xf numFmtId="14" fontId="7" fillId="8" borderId="7" xfId="0" applyNumberFormat="1" applyFont="1" applyFill="1" applyBorder="1" applyAlignment="1">
      <alignment horizontal="center" vertical="center"/>
    </xf>
    <xf numFmtId="14" fontId="7" fillId="8" borderId="8" xfId="0" applyNumberFormat="1" applyFont="1" applyFill="1" applyBorder="1" applyAlignment="1">
      <alignment horizontal="center" vertical="center"/>
    </xf>
    <xf numFmtId="2" fontId="4" fillId="0" borderId="47" xfId="0" applyNumberFormat="1" applyFont="1" applyBorder="1" applyAlignment="1">
      <alignment horizontal="center" vertical="center"/>
    </xf>
    <xf numFmtId="2" fontId="4" fillId="0" borderId="21" xfId="0" applyNumberFormat="1" applyFont="1" applyBorder="1" applyAlignment="1">
      <alignment horizontal="center" vertical="center"/>
    </xf>
    <xf numFmtId="166" fontId="7" fillId="8" borderId="4" xfId="0" applyNumberFormat="1" applyFont="1" applyFill="1" applyBorder="1" applyAlignment="1">
      <alignment horizontal="center" vertical="center"/>
    </xf>
    <xf numFmtId="166" fontId="7" fillId="8" borderId="7" xfId="0" applyNumberFormat="1" applyFont="1" applyFill="1" applyBorder="1" applyAlignment="1">
      <alignment horizontal="center" vertical="center"/>
    </xf>
    <xf numFmtId="166" fontId="7" fillId="8" borderId="8" xfId="0" applyNumberFormat="1" applyFont="1" applyFill="1" applyBorder="1" applyAlignment="1">
      <alignment horizontal="center" vertical="center"/>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14" fontId="3" fillId="0" borderId="1" xfId="0" applyNumberFormat="1" applyFont="1" applyBorder="1" applyAlignment="1">
      <alignment horizontal="center" vertical="center"/>
    </xf>
    <xf numFmtId="0" fontId="2" fillId="0" borderId="0" xfId="0" applyFont="1" applyAlignment="1">
      <alignment horizontal="center"/>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164" fontId="4" fillId="0" borderId="4" xfId="2" applyFont="1" applyFill="1" applyBorder="1" applyAlignment="1">
      <alignment horizontal="center" vertical="center"/>
    </xf>
    <xf numFmtId="164" fontId="4" fillId="0" borderId="4" xfId="2" applyFont="1" applyBorder="1" applyAlignment="1">
      <alignment horizontal="center" vertical="center"/>
    </xf>
    <xf numFmtId="0" fontId="7" fillId="0" borderId="4"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4"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6" borderId="4" xfId="0" applyFont="1" applyFill="1" applyBorder="1" applyAlignment="1">
      <alignment horizontal="center" vertical="center" wrapText="1"/>
    </xf>
    <xf numFmtId="0" fontId="7" fillId="6" borderId="7" xfId="0" applyFont="1" applyFill="1" applyBorder="1" applyAlignment="1">
      <alignment horizontal="center" vertical="center" wrapText="1"/>
    </xf>
    <xf numFmtId="0" fontId="7" fillId="6" borderId="8" xfId="0" applyFont="1" applyFill="1" applyBorder="1" applyAlignment="1">
      <alignment horizontal="center" vertical="center" wrapText="1"/>
    </xf>
    <xf numFmtId="0" fontId="7" fillId="6" borderId="4" xfId="0" applyFont="1" applyFill="1" applyBorder="1" applyAlignment="1">
      <alignment horizontal="center" vertical="center"/>
    </xf>
    <xf numFmtId="0" fontId="7" fillId="6" borderId="7" xfId="0" applyFont="1" applyFill="1" applyBorder="1" applyAlignment="1">
      <alignment horizontal="center" vertical="center"/>
    </xf>
    <xf numFmtId="0" fontId="7" fillId="6" borderId="8" xfId="0" applyFont="1" applyFill="1" applyBorder="1" applyAlignment="1">
      <alignment horizontal="center" vertical="center"/>
    </xf>
    <xf numFmtId="0" fontId="7" fillId="6" borderId="1" xfId="0" applyFont="1" applyFill="1" applyBorder="1" applyAlignment="1">
      <alignment horizontal="center" vertical="center"/>
    </xf>
    <xf numFmtId="0" fontId="7" fillId="6" borderId="1" xfId="0"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8" xfId="0" applyFont="1" applyBorder="1" applyAlignment="1">
      <alignment horizontal="center" vertical="center" wrapText="1"/>
    </xf>
    <xf numFmtId="0" fontId="7" fillId="0" borderId="6" xfId="0" applyFont="1" applyBorder="1" applyAlignment="1">
      <alignment horizontal="center" vertical="center"/>
    </xf>
    <xf numFmtId="0" fontId="7" fillId="0" borderId="20" xfId="0" applyFont="1" applyBorder="1" applyAlignment="1">
      <alignment horizontal="center" vertical="center"/>
    </xf>
    <xf numFmtId="0" fontId="7" fillId="2" borderId="4"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4"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0" borderId="4" xfId="0" applyFont="1" applyBorder="1" applyAlignment="1">
      <alignment wrapText="1"/>
    </xf>
    <xf numFmtId="164" fontId="7" fillId="0" borderId="4" xfId="2" applyFont="1" applyFill="1" applyBorder="1" applyAlignment="1">
      <alignment wrapText="1"/>
    </xf>
    <xf numFmtId="164" fontId="7" fillId="0" borderId="4" xfId="2" applyFont="1" applyFill="1" applyBorder="1"/>
    <xf numFmtId="164" fontId="8" fillId="7" borderId="5" xfId="2" applyFont="1" applyFill="1" applyBorder="1"/>
    <xf numFmtId="0" fontId="3" fillId="0" borderId="6" xfId="0" applyFont="1" applyBorder="1"/>
    <xf numFmtId="43" fontId="3" fillId="0" borderId="1" xfId="1" applyFont="1" applyBorder="1" applyAlignment="1">
      <alignment horizontal="center" vertical="center"/>
    </xf>
    <xf numFmtId="164" fontId="3" fillId="0" borderId="1" xfId="2" applyFont="1" applyBorder="1"/>
    <xf numFmtId="164" fontId="4" fillId="0" borderId="1" xfId="2" applyFont="1" applyBorder="1"/>
    <xf numFmtId="166" fontId="3" fillId="8" borderId="1" xfId="1" applyNumberFormat="1" applyFont="1" applyFill="1" applyBorder="1"/>
    <xf numFmtId="10" fontId="7" fillId="8" borderId="1" xfId="0" applyNumberFormat="1" applyFont="1" applyFill="1" applyBorder="1" applyAlignment="1">
      <alignment horizontal="center" vertical="center"/>
    </xf>
    <xf numFmtId="168" fontId="7" fillId="0" borderId="1" xfId="2" applyNumberFormat="1" applyFont="1" applyFill="1" applyBorder="1" applyAlignment="1">
      <alignment horizontal="center" vertical="center"/>
    </xf>
    <xf numFmtId="0" fontId="7" fillId="8" borderId="1" xfId="0" applyFont="1" applyFill="1" applyBorder="1" applyAlignment="1">
      <alignment horizontal="center" vertical="center" wrapText="1"/>
    </xf>
    <xf numFmtId="14" fontId="3" fillId="8" borderId="1" xfId="0" applyNumberFormat="1" applyFont="1" applyFill="1" applyBorder="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0" fontId="3" fillId="0" borderId="7" xfId="0" applyFont="1" applyBorder="1" applyAlignment="1">
      <alignment horizontal="center" wrapText="1"/>
    </xf>
    <xf numFmtId="0" fontId="3" fillId="0" borderId="1" xfId="0" applyFont="1" applyBorder="1" applyAlignment="1"/>
    <xf numFmtId="0" fontId="17" fillId="0" borderId="1" xfId="0" applyFont="1" applyBorder="1" applyAlignment="1"/>
    <xf numFmtId="165" fontId="17" fillId="0" borderId="1" xfId="0" applyNumberFormat="1" applyFont="1" applyBorder="1" applyAlignment="1">
      <alignment horizontal="center" vertical="center"/>
    </xf>
    <xf numFmtId="164" fontId="35" fillId="0" borderId="1" xfId="2" applyFont="1" applyBorder="1"/>
    <xf numFmtId="0" fontId="17" fillId="0" borderId="8" xfId="0" applyFont="1" applyBorder="1"/>
    <xf numFmtId="165" fontId="17" fillId="8" borderId="1" xfId="0" applyNumberFormat="1" applyFont="1" applyFill="1" applyBorder="1" applyAlignment="1">
      <alignment horizontal="center" vertical="center"/>
    </xf>
    <xf numFmtId="43" fontId="17" fillId="0" borderId="31" xfId="1" applyFont="1" applyFill="1" applyBorder="1"/>
    <xf numFmtId="14" fontId="17" fillId="0" borderId="1" xfId="0" applyNumberFormat="1" applyFont="1" applyBorder="1" applyAlignment="1">
      <alignment horizontal="center" vertical="center"/>
    </xf>
    <xf numFmtId="0" fontId="17" fillId="0" borderId="4" xfId="0" applyFont="1" applyBorder="1" applyAlignment="1">
      <alignment wrapText="1"/>
    </xf>
    <xf numFmtId="4" fontId="17" fillId="0" borderId="0" xfId="0" applyNumberFormat="1" applyFont="1"/>
    <xf numFmtId="165" fontId="17" fillId="0" borderId="5" xfId="0" applyNumberFormat="1" applyFont="1" applyBorder="1"/>
    <xf numFmtId="165" fontId="17" fillId="0" borderId="4" xfId="0" applyNumberFormat="1" applyFont="1" applyBorder="1"/>
    <xf numFmtId="43" fontId="17" fillId="0" borderId="4" xfId="1" applyFont="1" applyFill="1" applyBorder="1"/>
    <xf numFmtId="43" fontId="17" fillId="0" borderId="38" xfId="1" applyFont="1" applyFill="1" applyBorder="1"/>
    <xf numFmtId="43" fontId="17" fillId="0" borderId="22" xfId="1" applyFont="1" applyFill="1" applyBorder="1"/>
    <xf numFmtId="43" fontId="17" fillId="0" borderId="5" xfId="1" applyFont="1" applyFill="1" applyBorder="1"/>
    <xf numFmtId="166" fontId="17" fillId="0" borderId="6" xfId="1" applyNumberFormat="1" applyFont="1" applyFill="1" applyBorder="1"/>
    <xf numFmtId="43" fontId="17" fillId="0" borderId="6" xfId="1" applyFont="1" applyFill="1" applyBorder="1"/>
    <xf numFmtId="10" fontId="17" fillId="0" borderId="6" xfId="0" applyNumberFormat="1" applyFont="1" applyBorder="1" applyAlignment="1">
      <alignment horizontal="center" vertical="center"/>
    </xf>
    <xf numFmtId="164" fontId="17" fillId="0" borderId="4" xfId="2" applyFont="1" applyFill="1" applyBorder="1"/>
    <xf numFmtId="164" fontId="35" fillId="0" borderId="4" xfId="2" applyFont="1" applyFill="1" applyBorder="1"/>
    <xf numFmtId="43" fontId="35" fillId="0" borderId="4" xfId="1" applyFont="1" applyFill="1" applyBorder="1"/>
    <xf numFmtId="166" fontId="17" fillId="0" borderId="2" xfId="0" applyNumberFormat="1" applyFont="1" applyBorder="1" applyAlignment="1">
      <alignment horizontal="center" vertical="center"/>
    </xf>
    <xf numFmtId="43" fontId="17" fillId="0" borderId="17" xfId="1" applyFont="1" applyFill="1" applyBorder="1" applyAlignment="1">
      <alignment vertical="center"/>
    </xf>
    <xf numFmtId="43" fontId="17" fillId="0" borderId="18" xfId="1" applyFont="1" applyFill="1" applyBorder="1"/>
    <xf numFmtId="43" fontId="17" fillId="0" borderId="2" xfId="1" applyFont="1" applyFill="1" applyBorder="1"/>
    <xf numFmtId="166" fontId="17" fillId="0" borderId="3" xfId="1" applyNumberFormat="1" applyFont="1" applyFill="1" applyBorder="1"/>
    <xf numFmtId="43" fontId="17" fillId="0" borderId="3" xfId="1" applyFont="1" applyFill="1" applyBorder="1"/>
    <xf numFmtId="0" fontId="17" fillId="0" borderId="3" xfId="1" applyNumberFormat="1" applyFont="1" applyFill="1" applyBorder="1"/>
    <xf numFmtId="1" fontId="17" fillId="0" borderId="1" xfId="0" applyNumberFormat="1" applyFont="1" applyBorder="1" applyAlignment="1">
      <alignment horizontal="center" vertical="center"/>
    </xf>
    <xf numFmtId="43" fontId="17" fillId="0" borderId="0" xfId="1" applyFont="1" applyFill="1"/>
    <xf numFmtId="0" fontId="17" fillId="0" borderId="8" xfId="0" applyFont="1" applyBorder="1" applyAlignment="1">
      <alignment wrapText="1"/>
    </xf>
    <xf numFmtId="166" fontId="17" fillId="0" borderId="8" xfId="0" applyNumberFormat="1" applyFont="1" applyBorder="1" applyAlignment="1">
      <alignment horizontal="center" vertical="center"/>
    </xf>
    <xf numFmtId="43" fontId="17" fillId="0" borderId="19" xfId="1" applyFont="1" applyFill="1" applyBorder="1" applyAlignment="1">
      <alignment horizontal="right" vertical="center"/>
    </xf>
    <xf numFmtId="168" fontId="17" fillId="0" borderId="26" xfId="0" applyNumberFormat="1" applyFont="1" applyBorder="1" applyAlignment="1">
      <alignment horizontal="center" vertical="center"/>
    </xf>
    <xf numFmtId="168" fontId="17" fillId="0" borderId="8" xfId="0" applyNumberFormat="1" applyFont="1" applyBorder="1" applyAlignment="1">
      <alignment horizontal="center" vertical="center"/>
    </xf>
    <xf numFmtId="168" fontId="17" fillId="0" borderId="27" xfId="0" applyNumberFormat="1" applyFont="1" applyBorder="1" applyAlignment="1">
      <alignment horizontal="center" vertical="center"/>
    </xf>
    <xf numFmtId="168" fontId="17" fillId="0" borderId="19" xfId="0" applyNumberFormat="1" applyFont="1" applyBorder="1" applyAlignment="1">
      <alignment horizontal="center" vertical="center"/>
    </xf>
    <xf numFmtId="168" fontId="17" fillId="0" borderId="21" xfId="0" applyNumberFormat="1" applyFont="1" applyBorder="1" applyAlignment="1">
      <alignment horizontal="center" vertical="center"/>
    </xf>
    <xf numFmtId="10" fontId="17" fillId="0" borderId="20" xfId="0" applyNumberFormat="1" applyFont="1" applyBorder="1" applyAlignment="1">
      <alignment horizontal="center" vertical="center"/>
    </xf>
    <xf numFmtId="164" fontId="17" fillId="0" borderId="8" xfId="2" applyFont="1" applyFill="1" applyBorder="1"/>
    <xf numFmtId="164" fontId="17" fillId="0" borderId="20" xfId="2" applyFont="1" applyFill="1" applyBorder="1"/>
    <xf numFmtId="164" fontId="35" fillId="0" borderId="8" xfId="2" applyFont="1" applyFill="1" applyBorder="1"/>
    <xf numFmtId="164" fontId="35" fillId="0" borderId="19" xfId="2" applyFont="1" applyFill="1" applyBorder="1"/>
    <xf numFmtId="43" fontId="17" fillId="0" borderId="26" xfId="1" applyFont="1" applyFill="1" applyBorder="1"/>
    <xf numFmtId="43" fontId="17" fillId="0" borderId="8" xfId="1" applyFont="1" applyFill="1" applyBorder="1"/>
    <xf numFmtId="43" fontId="17" fillId="0" borderId="19" xfId="1" applyFont="1" applyFill="1" applyBorder="1"/>
    <xf numFmtId="43" fontId="17" fillId="8" borderId="2" xfId="1" applyFont="1" applyFill="1" applyBorder="1" applyAlignment="1">
      <alignment horizontal="right" vertical="center"/>
    </xf>
    <xf numFmtId="168" fontId="17" fillId="8" borderId="17" xfId="0" applyNumberFormat="1" applyFont="1" applyFill="1" applyBorder="1" applyAlignment="1">
      <alignment horizontal="center" vertical="center"/>
    </xf>
    <xf numFmtId="168" fontId="17" fillId="8" borderId="18" xfId="0" applyNumberFormat="1" applyFont="1" applyFill="1" applyBorder="1" applyAlignment="1">
      <alignment horizontal="center" vertical="center"/>
    </xf>
    <xf numFmtId="168" fontId="17" fillId="8" borderId="2" xfId="0" applyNumberFormat="1" applyFont="1" applyFill="1" applyBorder="1" applyAlignment="1">
      <alignment horizontal="center" vertical="center"/>
    </xf>
    <xf numFmtId="168" fontId="17" fillId="8" borderId="48" xfId="0" applyNumberFormat="1" applyFont="1" applyFill="1" applyBorder="1" applyAlignment="1">
      <alignment horizontal="center" vertical="center"/>
    </xf>
    <xf numFmtId="10" fontId="17" fillId="8" borderId="3" xfId="0" applyNumberFormat="1" applyFont="1" applyFill="1" applyBorder="1" applyAlignment="1">
      <alignment horizontal="center" vertical="center"/>
    </xf>
    <xf numFmtId="164" fontId="17" fillId="8" borderId="3" xfId="2" applyFont="1" applyFill="1" applyBorder="1"/>
    <xf numFmtId="164" fontId="35" fillId="8" borderId="2" xfId="2" applyFont="1" applyFill="1" applyBorder="1"/>
    <xf numFmtId="43" fontId="17" fillId="8" borderId="31" xfId="1" applyFont="1" applyFill="1" applyBorder="1"/>
    <xf numFmtId="43" fontId="17" fillId="8" borderId="49" xfId="1" applyFont="1" applyFill="1" applyBorder="1"/>
    <xf numFmtId="0" fontId="17" fillId="0" borderId="4" xfId="0" applyFont="1" applyBorder="1" applyAlignment="1">
      <alignment horizontal="center"/>
    </xf>
    <xf numFmtId="0" fontId="17" fillId="0" borderId="4" xfId="0" applyFont="1" applyBorder="1" applyAlignment="1">
      <alignment horizontal="center" wrapText="1"/>
    </xf>
    <xf numFmtId="166" fontId="17" fillId="0" borderId="4" xfId="0" applyNumberFormat="1" applyFont="1" applyBorder="1" applyAlignment="1">
      <alignment horizontal="center" vertical="center"/>
    </xf>
    <xf numFmtId="43" fontId="17" fillId="0" borderId="5" xfId="1" applyFont="1" applyFill="1" applyBorder="1" applyAlignment="1">
      <alignment horizontal="right" vertical="center"/>
    </xf>
    <xf numFmtId="168" fontId="17" fillId="0" borderId="22" xfId="0" applyNumberFormat="1" applyFont="1" applyBorder="1" applyAlignment="1">
      <alignment horizontal="center" vertical="center"/>
    </xf>
    <xf numFmtId="168" fontId="17" fillId="0" borderId="4" xfId="0" applyNumberFormat="1" applyFont="1" applyBorder="1" applyAlignment="1">
      <alignment horizontal="center" vertical="center"/>
    </xf>
    <xf numFmtId="168" fontId="17" fillId="0" borderId="38" xfId="0" applyNumberFormat="1" applyFont="1" applyBorder="1" applyAlignment="1">
      <alignment horizontal="center" vertical="center"/>
    </xf>
    <xf numFmtId="168" fontId="17" fillId="0" borderId="5" xfId="0" applyNumberFormat="1" applyFont="1" applyBorder="1" applyAlignment="1">
      <alignment horizontal="center" vertical="center"/>
    </xf>
    <xf numFmtId="168" fontId="17" fillId="0" borderId="63" xfId="0" applyNumberFormat="1" applyFont="1" applyBorder="1" applyAlignment="1">
      <alignment horizontal="center" vertical="center"/>
    </xf>
    <xf numFmtId="164" fontId="17" fillId="0" borderId="6" xfId="2" applyFont="1" applyFill="1" applyBorder="1"/>
    <xf numFmtId="164" fontId="35" fillId="0" borderId="5" xfId="2" applyFont="1" applyFill="1" applyBorder="1"/>
    <xf numFmtId="43" fontId="17" fillId="0" borderId="40" xfId="1" applyFont="1" applyFill="1" applyBorder="1"/>
    <xf numFmtId="0" fontId="17" fillId="0" borderId="8" xfId="0" applyFont="1" applyBorder="1" applyAlignment="1">
      <alignment horizontal="center"/>
    </xf>
    <xf numFmtId="0" fontId="17" fillId="0" borderId="8" xfId="0" applyFont="1" applyBorder="1" applyAlignment="1">
      <alignment horizontal="center" wrapText="1"/>
    </xf>
    <xf numFmtId="4" fontId="17" fillId="0" borderId="1" xfId="0" applyNumberFormat="1" applyFont="1" applyBorder="1"/>
    <xf numFmtId="0" fontId="17" fillId="0" borderId="3" xfId="0" applyFont="1" applyBorder="1"/>
    <xf numFmtId="165" fontId="17" fillId="0" borderId="17" xfId="0" applyNumberFormat="1" applyFont="1" applyBorder="1" applyAlignment="1">
      <alignment horizontal="center" vertical="center"/>
    </xf>
    <xf numFmtId="14" fontId="17" fillId="0" borderId="0" xfId="0" applyNumberFormat="1" applyFont="1" applyAlignment="1">
      <alignment horizontal="center" vertical="center"/>
    </xf>
    <xf numFmtId="43" fontId="17" fillId="0" borderId="0" xfId="1" applyFont="1" applyFill="1" applyAlignment="1">
      <alignment horizontal="right" vertical="center"/>
    </xf>
    <xf numFmtId="0" fontId="17" fillId="0" borderId="7" xfId="0" applyFont="1" applyBorder="1" applyAlignment="1">
      <alignment vertical="center"/>
    </xf>
    <xf numFmtId="0" fontId="17" fillId="0" borderId="7" xfId="0" applyFont="1" applyBorder="1"/>
    <xf numFmtId="0" fontId="17" fillId="0" borderId="7" xfId="0" applyFont="1" applyBorder="1" applyAlignment="1">
      <alignment wrapText="1"/>
    </xf>
    <xf numFmtId="43" fontId="17" fillId="0" borderId="7" xfId="1" applyFont="1" applyFill="1" applyBorder="1" applyAlignment="1">
      <alignment horizontal="center" vertical="center"/>
    </xf>
    <xf numFmtId="165" fontId="17" fillId="0" borderId="7" xfId="0" applyNumberFormat="1" applyFont="1" applyBorder="1" applyAlignment="1">
      <alignment horizontal="center" vertical="center"/>
    </xf>
    <xf numFmtId="165" fontId="17" fillId="8" borderId="4" xfId="0" applyNumberFormat="1" applyFont="1" applyFill="1" applyBorder="1" applyAlignment="1">
      <alignment horizontal="center" vertical="center"/>
    </xf>
    <xf numFmtId="168" fontId="17" fillId="0" borderId="0" xfId="0" applyNumberFormat="1" applyFont="1" applyBorder="1" applyAlignment="1">
      <alignment horizontal="center" vertical="center"/>
    </xf>
    <xf numFmtId="10" fontId="17" fillId="0" borderId="7" xfId="0" applyNumberFormat="1" applyFont="1" applyBorder="1" applyAlignment="1">
      <alignment horizontal="center" vertical="center"/>
    </xf>
    <xf numFmtId="164" fontId="17" fillId="0" borderId="7" xfId="2" applyFont="1" applyFill="1" applyBorder="1"/>
    <xf numFmtId="164" fontId="35" fillId="0" borderId="7" xfId="2" applyFont="1" applyFill="1" applyBorder="1"/>
    <xf numFmtId="43" fontId="17" fillId="0" borderId="7" xfId="1" applyFont="1" applyFill="1" applyBorder="1"/>
    <xf numFmtId="0" fontId="17" fillId="0" borderId="42" xfId="0" applyFont="1" applyBorder="1"/>
    <xf numFmtId="0" fontId="31" fillId="0" borderId="1" xfId="0" applyFont="1" applyBorder="1"/>
    <xf numFmtId="14" fontId="17" fillId="0" borderId="4" xfId="0" applyNumberFormat="1" applyFont="1" applyBorder="1"/>
    <xf numFmtId="165" fontId="17" fillId="0" borderId="4" xfId="0" applyNumberFormat="1" applyFont="1" applyBorder="1" applyAlignment="1">
      <alignment vertical="center"/>
    </xf>
    <xf numFmtId="165" fontId="17" fillId="0" borderId="4" xfId="1" applyNumberFormat="1" applyFont="1" applyFill="1" applyBorder="1"/>
    <xf numFmtId="166" fontId="17" fillId="0" borderId="4" xfId="1" applyNumberFormat="1" applyFont="1" applyFill="1" applyBorder="1"/>
    <xf numFmtId="43" fontId="31" fillId="0" borderId="0" xfId="1" applyFont="1" applyFill="1"/>
    <xf numFmtId="0" fontId="17" fillId="2" borderId="1" xfId="0" applyFont="1" applyFill="1" applyBorder="1"/>
    <xf numFmtId="165" fontId="17" fillId="0" borderId="3" xfId="1" applyNumberFormat="1" applyFont="1" applyFill="1" applyBorder="1"/>
    <xf numFmtId="168" fontId="17" fillId="0" borderId="2" xfId="2" applyNumberFormat="1" applyFont="1" applyFill="1" applyBorder="1" applyAlignment="1">
      <alignment horizontal="center" vertical="center"/>
    </xf>
    <xf numFmtId="43" fontId="17" fillId="0" borderId="24" xfId="1" applyFont="1" applyFill="1" applyBorder="1"/>
    <xf numFmtId="43" fontId="17" fillId="0" borderId="25" xfId="1" applyFont="1" applyFill="1" applyBorder="1"/>
    <xf numFmtId="43" fontId="17" fillId="0" borderId="23" xfId="1" applyFont="1" applyFill="1" applyBorder="1"/>
    <xf numFmtId="43" fontId="17" fillId="0" borderId="43" xfId="1" applyFont="1" applyFill="1" applyBorder="1"/>
    <xf numFmtId="168" fontId="17" fillId="8" borderId="2" xfId="2" applyNumberFormat="1" applyFont="1" applyFill="1" applyBorder="1" applyAlignment="1">
      <alignment horizontal="center" vertical="center"/>
    </xf>
    <xf numFmtId="43" fontId="17" fillId="8" borderId="24" xfId="1" applyFont="1" applyFill="1" applyBorder="1"/>
    <xf numFmtId="43" fontId="17" fillId="8" borderId="25" xfId="1" applyFont="1" applyFill="1" applyBorder="1"/>
    <xf numFmtId="43" fontId="17" fillId="8" borderId="23" xfId="1" applyFont="1" applyFill="1" applyBorder="1"/>
    <xf numFmtId="43" fontId="17" fillId="8" borderId="43" xfId="1" applyFont="1" applyFill="1" applyBorder="1"/>
    <xf numFmtId="165" fontId="17" fillId="8" borderId="1" xfId="0" applyNumberFormat="1" applyFont="1" applyFill="1" applyBorder="1"/>
    <xf numFmtId="166" fontId="17" fillId="8" borderId="3" xfId="1" applyNumberFormat="1" applyFont="1" applyFill="1" applyBorder="1"/>
    <xf numFmtId="43" fontId="17" fillId="8" borderId="3" xfId="1" applyFont="1" applyFill="1" applyBorder="1"/>
  </cellXfs>
  <cellStyles count="50">
    <cellStyle name="20% - Accent1" xfId="22" builtinId="30" customBuiltin="1"/>
    <cellStyle name="20% - Accent2" xfId="26" builtinId="34" customBuiltin="1"/>
    <cellStyle name="20% - Accent3" xfId="30" builtinId="38" customBuiltin="1"/>
    <cellStyle name="20% - Accent4" xfId="34" builtinId="42" customBuiltin="1"/>
    <cellStyle name="20% - Accent5" xfId="38" builtinId="46" customBuiltin="1"/>
    <cellStyle name="20% - Accent6" xfId="42" builtinId="50" customBuiltin="1"/>
    <cellStyle name="40% - Accent1" xfId="23" builtinId="31" customBuiltin="1"/>
    <cellStyle name="40% - Accent2" xfId="27" builtinId="35" customBuiltin="1"/>
    <cellStyle name="40% - Accent3" xfId="31" builtinId="39" customBuiltin="1"/>
    <cellStyle name="40% - Accent4" xfId="35" builtinId="43" customBuiltin="1"/>
    <cellStyle name="40% - Accent5" xfId="39" builtinId="47" customBuiltin="1"/>
    <cellStyle name="40% - Accent6" xfId="43" builtinId="51" customBuiltin="1"/>
    <cellStyle name="60% - Accent1" xfId="24" builtinId="32" customBuiltin="1"/>
    <cellStyle name="60% - Accent2" xfId="28" builtinId="36" customBuiltin="1"/>
    <cellStyle name="60% - Accent3" xfId="32" builtinId="40" customBuiltin="1"/>
    <cellStyle name="60% - Accent4" xfId="36" builtinId="44" customBuiltin="1"/>
    <cellStyle name="60% - Accent5" xfId="40" builtinId="48" customBuiltin="1"/>
    <cellStyle name="60% - Accent6" xfId="44" builtinId="52" customBuiltin="1"/>
    <cellStyle name="Accent1" xfId="21" builtinId="29" customBuiltin="1"/>
    <cellStyle name="Accent2" xfId="25" builtinId="33" customBuiltin="1"/>
    <cellStyle name="Accent3" xfId="29" builtinId="37" customBuiltin="1"/>
    <cellStyle name="Accent4" xfId="33" builtinId="41" customBuiltin="1"/>
    <cellStyle name="Accent5" xfId="37" builtinId="45" customBuiltin="1"/>
    <cellStyle name="Accent6" xfId="41" builtinId="49" customBuiltin="1"/>
    <cellStyle name="Bad" xfId="10" builtinId="27" customBuiltin="1"/>
    <cellStyle name="Calculation" xfId="14" builtinId="22" customBuiltin="1"/>
    <cellStyle name="Check Cell" xfId="16" builtinId="23" customBuiltin="1"/>
    <cellStyle name="Comma" xfId="1" builtinId="3"/>
    <cellStyle name="Comma 12" xfId="46" xr:uid="{CFE4F37F-4E88-4AB8-A488-0EC2597C68FA}"/>
    <cellStyle name="Comma 2" xfId="2" xr:uid="{08E7C1B6-06EB-4738-A4B7-C9E9F07722BA}"/>
    <cellStyle name="Comma 3" xfId="3" xr:uid="{69B90FD0-A373-42FC-9A17-08CE40738A01}"/>
    <cellStyle name="Comma 3 2" xfId="47" xr:uid="{42634B61-6916-4B41-AB4A-4131803E41B2}"/>
    <cellStyle name="Comma 4" xfId="48" xr:uid="{C4B72EF5-C7DF-4EC1-8237-EEB8CA987D87}"/>
    <cellStyle name="Comma 5" xfId="49" xr:uid="{8E735A46-7C6B-4945-9C6A-2803D91F930F}"/>
    <cellStyle name="Comma 6" xfId="45" xr:uid="{24AE1DFD-4E65-44E8-A32F-2D1B83658BC6}"/>
    <cellStyle name="Explanatory Text" xfId="19"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Input" xfId="12" builtinId="20" customBuiltin="1"/>
    <cellStyle name="Linked Cell" xfId="15" builtinId="24" customBuiltin="1"/>
    <cellStyle name="Neutral" xfId="11" builtinId="28" customBuiltin="1"/>
    <cellStyle name="Normal" xfId="0" builtinId="0"/>
    <cellStyle name="Note" xfId="18" builtinId="10" customBuiltin="1"/>
    <cellStyle name="Output" xfId="13" builtinId="21" customBuiltin="1"/>
    <cellStyle name="Title" xfId="4" builtinId="15" customBuiltin="1"/>
    <cellStyle name="Total" xfId="20" builtinId="25" customBuiltin="1"/>
    <cellStyle name="Warning Text" xfId="17" builtinId="11" customBuiltin="1"/>
  </cellStyles>
  <dxfs count="3">
    <dxf>
      <fill>
        <patternFill>
          <bgColor rgb="FF00990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mdla\Downloads\rptDetailedGeneralLedger.csv" TargetMode="External"/><Relationship Id="rId1" Type="http://schemas.openxmlformats.org/officeDocument/2006/relationships/externalLinkPath" Target="file:///C:\Users\mmdla\Downloads\rptDetailedGeneralLedger.csv"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ptDetailedGeneralLedger"/>
    </sheetNames>
    <sheetDataSet>
      <sheetData sheetId="0">
        <row r="5840">
          <cell r="P5840">
            <v>2235.4499999999998</v>
          </cell>
        </row>
        <row r="5842">
          <cell r="P5842">
            <v>2280.4499999999998</v>
          </cell>
        </row>
        <row r="5844">
          <cell r="P5844">
            <v>20230.8</v>
          </cell>
        </row>
        <row r="5845">
          <cell r="P5845">
            <v>20230.8</v>
          </cell>
        </row>
        <row r="5846">
          <cell r="P5846">
            <v>8883.75</v>
          </cell>
        </row>
        <row r="5847">
          <cell r="P5847">
            <v>2090.6999999999998</v>
          </cell>
        </row>
        <row r="5848">
          <cell r="P5848">
            <v>88121.17</v>
          </cell>
        </row>
        <row r="5849">
          <cell r="P5849">
            <v>20230.8</v>
          </cell>
        </row>
        <row r="5864">
          <cell r="P5864">
            <v>2090.6999999999998</v>
          </cell>
        </row>
        <row r="5865">
          <cell r="P5865">
            <v>10022.25</v>
          </cell>
        </row>
        <row r="5866">
          <cell r="P5866">
            <v>6751.5</v>
          </cell>
        </row>
        <row r="5915">
          <cell r="P5915">
            <v>68434.2</v>
          </cell>
        </row>
        <row r="5925">
          <cell r="P5925">
            <v>23467.8</v>
          </cell>
        </row>
        <row r="5934">
          <cell r="P5934">
            <v>3659.3</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40087-A6C0-4417-8E41-DD968B98293D}">
  <sheetPr>
    <pageSetUpPr fitToPage="1"/>
  </sheetPr>
  <dimension ref="A1:DS127"/>
  <sheetViews>
    <sheetView zoomScale="98" zoomScaleNormal="98" workbookViewId="0">
      <pane ySplit="2" topLeftCell="A35" activePane="bottomLeft" state="frozen"/>
      <selection pane="bottomLeft" activeCell="A35" sqref="A35:A36"/>
    </sheetView>
  </sheetViews>
  <sheetFormatPr defaultColWidth="8.85546875" defaultRowHeight="12" x14ac:dyDescent="0.2"/>
  <cols>
    <col min="1" max="1" width="17" style="19" customWidth="1"/>
    <col min="2" max="2" width="31.28515625" style="19" customWidth="1"/>
    <col min="3" max="3" width="70.42578125" style="19" customWidth="1"/>
    <col min="4" max="4" width="48.140625" style="19" customWidth="1"/>
    <col min="5" max="5" width="15.42578125" style="19" customWidth="1"/>
    <col min="6" max="6" width="26.5703125" style="19" customWidth="1"/>
    <col min="7" max="7" width="36.7109375" style="19" customWidth="1"/>
    <col min="8" max="8" width="16.85546875" style="38" customWidth="1"/>
    <col min="9" max="9" width="18.7109375" style="19" customWidth="1"/>
    <col min="10" max="10" width="20.28515625" style="19" customWidth="1"/>
    <col min="11" max="11" width="22.85546875" style="201" customWidth="1"/>
    <col min="12" max="12" width="20.7109375" style="142" customWidth="1"/>
    <col min="13" max="13" width="17.140625" style="19" customWidth="1"/>
    <col min="14" max="16" width="20.85546875" style="19" customWidth="1"/>
    <col min="17" max="17" width="15" style="19" customWidth="1"/>
    <col min="18" max="20" width="20.85546875" style="19" customWidth="1"/>
    <col min="21" max="21" width="16" style="19" customWidth="1"/>
    <col min="22" max="22" width="20.85546875" style="19" customWidth="1"/>
    <col min="23" max="28" width="18.28515625" style="19" customWidth="1"/>
    <col min="29" max="30" width="18.28515625" style="231" customWidth="1"/>
    <col min="31" max="35" width="18.28515625" style="19" customWidth="1"/>
    <col min="36" max="36" width="13" style="19" customWidth="1"/>
    <col min="37" max="37" width="15.7109375" style="106" customWidth="1"/>
    <col min="38" max="38" width="11.7109375" style="106" customWidth="1"/>
    <col min="39" max="39" width="23.28515625" style="19" customWidth="1"/>
    <col min="40" max="40" width="18.5703125" style="19" customWidth="1"/>
    <col min="41" max="41" width="20.7109375" style="19" customWidth="1"/>
    <col min="42" max="42" width="37.28515625" style="19" customWidth="1"/>
    <col min="43" max="43" width="19.28515625" style="19" customWidth="1"/>
    <col min="44" max="44" width="15.7109375" style="19" customWidth="1"/>
    <col min="45" max="45" width="87.28515625" style="19" customWidth="1"/>
    <col min="46" max="57" width="12.5703125" style="19" customWidth="1"/>
    <col min="58" max="58" width="12.5703125" style="143" customWidth="1"/>
    <col min="59" max="70" width="12.5703125" style="19" customWidth="1"/>
    <col min="71" max="71" width="12.5703125" style="144" customWidth="1"/>
    <col min="72" max="72" width="12.5703125" style="145" customWidth="1"/>
    <col min="73" max="73" width="13.7109375" style="145" customWidth="1"/>
    <col min="74" max="75" width="12.5703125" style="145" customWidth="1"/>
    <col min="76" max="76" width="14.42578125" style="145" customWidth="1"/>
    <col min="77" max="82" width="12.5703125" style="145" customWidth="1"/>
    <col min="83" max="83" width="13.7109375" style="145" customWidth="1"/>
    <col min="84" max="84" width="12.5703125" style="63" customWidth="1"/>
    <col min="85" max="85" width="9.7109375" style="231" customWidth="1"/>
    <col min="86" max="86" width="10.85546875" style="231" customWidth="1"/>
    <col min="87" max="87" width="12.28515625" style="231" customWidth="1"/>
    <col min="88" max="88" width="12.7109375" style="231" customWidth="1"/>
    <col min="89" max="89" width="14.42578125" style="231" customWidth="1"/>
    <col min="90" max="90" width="14.28515625" style="231" customWidth="1"/>
    <col min="91" max="91" width="12.5703125" style="231" customWidth="1"/>
    <col min="92" max="92" width="13.28515625" style="231" customWidth="1"/>
    <col min="93" max="93" width="11.42578125" style="231" customWidth="1"/>
    <col min="94" max="94" width="10.85546875" style="231" customWidth="1"/>
    <col min="95" max="95" width="11.42578125" style="231" customWidth="1"/>
    <col min="96" max="97" width="12.28515625" style="231" customWidth="1"/>
    <col min="98" max="98" width="11.5703125" style="19" customWidth="1"/>
    <col min="99" max="99" width="11.42578125" style="19" customWidth="1"/>
    <col min="100" max="100" width="11.7109375" style="19" customWidth="1"/>
    <col min="101" max="101" width="11.42578125" style="19" customWidth="1"/>
    <col min="102" max="102" width="12.140625" style="19" customWidth="1"/>
    <col min="103" max="103" width="11.85546875" style="19" customWidth="1"/>
    <col min="104" max="104" width="12" style="19" customWidth="1"/>
    <col min="105" max="105" width="11.7109375" style="19" customWidth="1"/>
    <col min="106" max="106" width="11.85546875" style="19" customWidth="1"/>
    <col min="107" max="107" width="12.140625" style="19" customWidth="1"/>
    <col min="108" max="108" width="10.28515625" style="19" customWidth="1"/>
    <col min="109" max="109" width="12.28515625" style="19" customWidth="1"/>
    <col min="110" max="110" width="12.140625" style="19" customWidth="1"/>
    <col min="111" max="111" width="14" style="19" customWidth="1"/>
    <col min="112" max="112" width="10" style="19" bestFit="1" customWidth="1"/>
    <col min="113" max="116" width="11.42578125" style="19" bestFit="1" customWidth="1"/>
    <col min="117" max="117" width="10" style="19" bestFit="1" customWidth="1"/>
    <col min="118" max="118" width="11.42578125" style="19" bestFit="1" customWidth="1"/>
    <col min="119" max="16384" width="8.85546875" style="19"/>
  </cols>
  <sheetData>
    <row r="1" spans="1:123" x14ac:dyDescent="0.2">
      <c r="A1" s="38"/>
      <c r="B1" s="38"/>
      <c r="C1" s="46"/>
      <c r="D1" s="1"/>
      <c r="E1" s="1"/>
      <c r="F1" s="1"/>
      <c r="G1" s="46"/>
      <c r="H1" s="46"/>
      <c r="I1" s="1"/>
      <c r="J1" s="1"/>
      <c r="K1" s="641"/>
      <c r="L1" s="788" t="s">
        <v>0</v>
      </c>
      <c r="M1" s="788"/>
      <c r="N1" s="788"/>
      <c r="O1" s="788"/>
      <c r="P1" s="789" t="s">
        <v>1</v>
      </c>
      <c r="Q1" s="789"/>
      <c r="R1" s="789"/>
      <c r="S1" s="789"/>
      <c r="T1" s="789" t="s">
        <v>2</v>
      </c>
      <c r="U1" s="789"/>
      <c r="V1" s="789"/>
      <c r="W1" s="789"/>
      <c r="X1" s="789" t="s">
        <v>1329</v>
      </c>
      <c r="Y1" s="789"/>
      <c r="Z1" s="789"/>
      <c r="AA1" s="789"/>
      <c r="AB1" s="642"/>
      <c r="AC1" s="643"/>
      <c r="AD1" s="643"/>
      <c r="AE1" s="642"/>
      <c r="AF1" s="642"/>
      <c r="AG1" s="642"/>
      <c r="AH1" s="642"/>
      <c r="AI1" s="642"/>
      <c r="AJ1" s="1"/>
      <c r="AK1" s="1"/>
      <c r="AL1" s="1"/>
      <c r="AM1" s="1"/>
      <c r="AN1" s="1"/>
      <c r="AO1" s="1"/>
      <c r="AP1" s="1"/>
      <c r="AQ1" s="1"/>
      <c r="AR1" s="1"/>
      <c r="AS1" s="1"/>
      <c r="AT1" s="790" t="s">
        <v>0</v>
      </c>
      <c r="AU1" s="790"/>
      <c r="AV1" s="790"/>
      <c r="AW1" s="790"/>
      <c r="AX1" s="790"/>
      <c r="AY1" s="790"/>
      <c r="AZ1" s="790"/>
      <c r="BA1" s="790"/>
      <c r="BB1" s="790"/>
      <c r="BC1" s="790"/>
      <c r="BD1" s="790"/>
      <c r="BE1" s="790"/>
      <c r="BF1" s="790"/>
      <c r="BG1" s="790" t="s">
        <v>1</v>
      </c>
      <c r="BH1" s="790"/>
      <c r="BI1" s="790"/>
      <c r="BJ1" s="790"/>
      <c r="BK1" s="790"/>
      <c r="BL1" s="790"/>
      <c r="BM1" s="790"/>
      <c r="BN1" s="790"/>
      <c r="BO1" s="790"/>
      <c r="BP1" s="790"/>
      <c r="BQ1" s="790"/>
      <c r="BR1" s="790"/>
      <c r="BS1" s="790"/>
      <c r="BT1" s="795" t="s">
        <v>2</v>
      </c>
      <c r="BU1" s="795"/>
      <c r="BV1" s="795"/>
      <c r="BW1" s="795"/>
      <c r="BX1" s="795"/>
      <c r="BY1" s="795"/>
      <c r="BZ1" s="795"/>
      <c r="CA1" s="795"/>
      <c r="CB1" s="795"/>
      <c r="CC1" s="795"/>
      <c r="CD1" s="795"/>
      <c r="CE1" s="795"/>
      <c r="CF1" s="795"/>
      <c r="CG1" s="792" t="s">
        <v>1329</v>
      </c>
      <c r="CH1" s="792"/>
      <c r="CI1" s="792"/>
      <c r="CJ1" s="792"/>
      <c r="CK1" s="792"/>
      <c r="CL1" s="792"/>
      <c r="CM1" s="792"/>
      <c r="CN1" s="792"/>
      <c r="CO1" s="792"/>
      <c r="CP1" s="792"/>
      <c r="CQ1" s="792"/>
      <c r="CR1" s="792"/>
      <c r="CS1" s="792"/>
      <c r="CT1" s="1"/>
      <c r="CU1" s="1"/>
      <c r="CV1" s="1"/>
      <c r="CW1" s="1"/>
      <c r="CX1" s="1"/>
      <c r="CY1" s="1"/>
      <c r="CZ1" s="644" t="s">
        <v>1522</v>
      </c>
      <c r="DA1" s="1"/>
      <c r="DB1" s="1"/>
      <c r="DC1" s="1"/>
      <c r="DD1" s="1"/>
      <c r="DE1" s="1"/>
      <c r="DF1" s="1"/>
      <c r="DG1" s="1"/>
      <c r="DH1" s="1"/>
      <c r="DI1" s="1"/>
      <c r="DJ1" s="1"/>
      <c r="DK1" s="1"/>
      <c r="DL1" s="644" t="s">
        <v>1901</v>
      </c>
      <c r="DM1" s="1"/>
      <c r="DN1" s="1"/>
      <c r="DO1" s="1"/>
      <c r="DP1" s="1"/>
      <c r="DQ1" s="1"/>
      <c r="DR1" s="1"/>
      <c r="DS1" s="1"/>
    </row>
    <row r="2" spans="1:123" s="472" customFormat="1" ht="36" x14ac:dyDescent="0.2">
      <c r="A2" s="460" t="s">
        <v>3</v>
      </c>
      <c r="B2" s="638" t="s">
        <v>4</v>
      </c>
      <c r="C2" s="169" t="s">
        <v>5</v>
      </c>
      <c r="D2" s="169" t="s">
        <v>6</v>
      </c>
      <c r="E2" s="169" t="s">
        <v>7</v>
      </c>
      <c r="F2" s="169" t="s">
        <v>8</v>
      </c>
      <c r="G2" s="169" t="s">
        <v>9</v>
      </c>
      <c r="H2" s="169" t="s">
        <v>10</v>
      </c>
      <c r="I2" s="167" t="s">
        <v>11</v>
      </c>
      <c r="J2" s="167" t="s">
        <v>12</v>
      </c>
      <c r="K2" s="645" t="s">
        <v>1316</v>
      </c>
      <c r="L2" s="88" t="s">
        <v>1319</v>
      </c>
      <c r="M2" s="88" t="s">
        <v>1318</v>
      </c>
      <c r="N2" s="88" t="s">
        <v>1317</v>
      </c>
      <c r="O2" s="88" t="s">
        <v>1315</v>
      </c>
      <c r="P2" s="88" t="s">
        <v>1320</v>
      </c>
      <c r="Q2" s="88" t="s">
        <v>1321</v>
      </c>
      <c r="R2" s="88" t="s">
        <v>1322</v>
      </c>
      <c r="S2" s="88" t="s">
        <v>1323</v>
      </c>
      <c r="T2" s="88" t="s">
        <v>1324</v>
      </c>
      <c r="U2" s="88" t="s">
        <v>1325</v>
      </c>
      <c r="V2" s="88" t="s">
        <v>1326</v>
      </c>
      <c r="W2" s="88" t="s">
        <v>1327</v>
      </c>
      <c r="X2" s="88" t="s">
        <v>1331</v>
      </c>
      <c r="Y2" s="88" t="s">
        <v>1332</v>
      </c>
      <c r="Z2" s="88" t="s">
        <v>1333</v>
      </c>
      <c r="AA2" s="88" t="s">
        <v>1334</v>
      </c>
      <c r="AB2" s="88" t="s">
        <v>1518</v>
      </c>
      <c r="AC2" s="645" t="s">
        <v>1519</v>
      </c>
      <c r="AD2" s="645" t="s">
        <v>1520</v>
      </c>
      <c r="AE2" s="88" t="s">
        <v>1521</v>
      </c>
      <c r="AF2" s="88" t="s">
        <v>1989</v>
      </c>
      <c r="AG2" s="645" t="s">
        <v>1990</v>
      </c>
      <c r="AH2" s="645" t="s">
        <v>1991</v>
      </c>
      <c r="AI2" s="88" t="s">
        <v>1992</v>
      </c>
      <c r="AJ2" s="646" t="s">
        <v>21</v>
      </c>
      <c r="AK2" s="164" t="s">
        <v>22</v>
      </c>
      <c r="AL2" s="165" t="s">
        <v>23</v>
      </c>
      <c r="AM2" s="165" t="s">
        <v>24</v>
      </c>
      <c r="AN2" s="166" t="s">
        <v>25</v>
      </c>
      <c r="AO2" s="167" t="s">
        <v>26</v>
      </c>
      <c r="AP2" s="168" t="s">
        <v>27</v>
      </c>
      <c r="AQ2" s="169" t="s">
        <v>28</v>
      </c>
      <c r="AR2" s="88" t="s">
        <v>29</v>
      </c>
      <c r="AS2" s="88" t="s">
        <v>30</v>
      </c>
      <c r="AT2" s="170" t="s">
        <v>31</v>
      </c>
      <c r="AU2" s="170" t="s">
        <v>32</v>
      </c>
      <c r="AV2" s="170" t="s">
        <v>33</v>
      </c>
      <c r="AW2" s="170" t="s">
        <v>34</v>
      </c>
      <c r="AX2" s="170" t="s">
        <v>35</v>
      </c>
      <c r="AY2" s="170" t="s">
        <v>36</v>
      </c>
      <c r="AZ2" s="170" t="s">
        <v>37</v>
      </c>
      <c r="BA2" s="170" t="s">
        <v>38</v>
      </c>
      <c r="BB2" s="170" t="s">
        <v>39</v>
      </c>
      <c r="BC2" s="170" t="s">
        <v>40</v>
      </c>
      <c r="BD2" s="170" t="s">
        <v>41</v>
      </c>
      <c r="BE2" s="170" t="s">
        <v>42</v>
      </c>
      <c r="BF2" s="647" t="s">
        <v>43</v>
      </c>
      <c r="BG2" s="170" t="s">
        <v>31</v>
      </c>
      <c r="BH2" s="170" t="s">
        <v>32</v>
      </c>
      <c r="BI2" s="170" t="s">
        <v>33</v>
      </c>
      <c r="BJ2" s="170" t="s">
        <v>34</v>
      </c>
      <c r="BK2" s="170" t="s">
        <v>35</v>
      </c>
      <c r="BL2" s="170" t="s">
        <v>36</v>
      </c>
      <c r="BM2" s="170" t="s">
        <v>37</v>
      </c>
      <c r="BN2" s="170" t="s">
        <v>38</v>
      </c>
      <c r="BO2" s="170" t="s">
        <v>39</v>
      </c>
      <c r="BP2" s="170" t="s">
        <v>40</v>
      </c>
      <c r="BQ2" s="170" t="s">
        <v>41</v>
      </c>
      <c r="BR2" s="170" t="s">
        <v>42</v>
      </c>
      <c r="BS2" s="647" t="s">
        <v>43</v>
      </c>
      <c r="BT2" s="648" t="s">
        <v>31</v>
      </c>
      <c r="BU2" s="648" t="s">
        <v>32</v>
      </c>
      <c r="BV2" s="648" t="s">
        <v>33</v>
      </c>
      <c r="BW2" s="648" t="s">
        <v>34</v>
      </c>
      <c r="BX2" s="648" t="s">
        <v>35</v>
      </c>
      <c r="BY2" s="648" t="s">
        <v>36</v>
      </c>
      <c r="BZ2" s="648" t="s">
        <v>37</v>
      </c>
      <c r="CA2" s="648" t="s">
        <v>38</v>
      </c>
      <c r="CB2" s="648" t="s">
        <v>39</v>
      </c>
      <c r="CC2" s="648" t="s">
        <v>40</v>
      </c>
      <c r="CD2" s="648" t="s">
        <v>41</v>
      </c>
      <c r="CE2" s="648" t="s">
        <v>42</v>
      </c>
      <c r="CF2" s="647" t="s">
        <v>43</v>
      </c>
      <c r="CG2" s="648" t="s">
        <v>31</v>
      </c>
      <c r="CH2" s="648" t="s">
        <v>32</v>
      </c>
      <c r="CI2" s="648" t="s">
        <v>33</v>
      </c>
      <c r="CJ2" s="648" t="s">
        <v>34</v>
      </c>
      <c r="CK2" s="648" t="s">
        <v>35</v>
      </c>
      <c r="CL2" s="648" t="s">
        <v>36</v>
      </c>
      <c r="CM2" s="648" t="s">
        <v>37</v>
      </c>
      <c r="CN2" s="648" t="s">
        <v>38</v>
      </c>
      <c r="CO2" s="648" t="s">
        <v>39</v>
      </c>
      <c r="CP2" s="648" t="s">
        <v>40</v>
      </c>
      <c r="CQ2" s="648" t="s">
        <v>41</v>
      </c>
      <c r="CR2" s="648" t="s">
        <v>42</v>
      </c>
      <c r="CS2" s="647" t="s">
        <v>43</v>
      </c>
      <c r="CT2" s="649" t="s">
        <v>31</v>
      </c>
      <c r="CU2" s="649" t="s">
        <v>32</v>
      </c>
      <c r="CV2" s="649" t="s">
        <v>33</v>
      </c>
      <c r="CW2" s="649" t="s">
        <v>34</v>
      </c>
      <c r="CX2" s="649" t="s">
        <v>35</v>
      </c>
      <c r="CY2" s="649" t="s">
        <v>36</v>
      </c>
      <c r="CZ2" s="649" t="s">
        <v>37</v>
      </c>
      <c r="DA2" s="649" t="s">
        <v>38</v>
      </c>
      <c r="DB2" s="649" t="s">
        <v>39</v>
      </c>
      <c r="DC2" s="649" t="s">
        <v>40</v>
      </c>
      <c r="DD2" s="649" t="s">
        <v>41</v>
      </c>
      <c r="DE2" s="649" t="s">
        <v>42</v>
      </c>
      <c r="DF2" s="130" t="s">
        <v>487</v>
      </c>
      <c r="DG2" s="649" t="s">
        <v>31</v>
      </c>
      <c r="DH2" s="649" t="s">
        <v>32</v>
      </c>
      <c r="DI2" s="649" t="s">
        <v>33</v>
      </c>
      <c r="DJ2" s="649" t="s">
        <v>34</v>
      </c>
      <c r="DK2" s="649" t="s">
        <v>35</v>
      </c>
      <c r="DL2" s="649" t="s">
        <v>36</v>
      </c>
      <c r="DM2" s="649" t="s">
        <v>37</v>
      </c>
      <c r="DN2" s="649" t="s">
        <v>38</v>
      </c>
      <c r="DO2" s="649" t="s">
        <v>39</v>
      </c>
      <c r="DP2" s="649" t="s">
        <v>40</v>
      </c>
      <c r="DQ2" s="649" t="s">
        <v>41</v>
      </c>
      <c r="DR2" s="649" t="s">
        <v>42</v>
      </c>
      <c r="DS2" s="130" t="s">
        <v>487</v>
      </c>
    </row>
    <row r="3" spans="1:123" s="744" customFormat="1" ht="24" x14ac:dyDescent="0.2">
      <c r="A3" s="769" t="s">
        <v>339</v>
      </c>
      <c r="B3" s="770" t="s">
        <v>107</v>
      </c>
      <c r="C3" s="769" t="s">
        <v>340</v>
      </c>
      <c r="D3" s="469" t="s">
        <v>341</v>
      </c>
      <c r="E3" s="469" t="s">
        <v>342</v>
      </c>
      <c r="F3" s="469" t="s">
        <v>49</v>
      </c>
      <c r="G3" s="608" t="s">
        <v>343</v>
      </c>
      <c r="H3" s="608" t="s">
        <v>344</v>
      </c>
      <c r="I3" s="609">
        <v>43405</v>
      </c>
      <c r="J3" s="609">
        <v>45231</v>
      </c>
      <c r="K3" s="741">
        <v>13999995.199999999</v>
      </c>
      <c r="L3" s="612"/>
      <c r="M3" s="612">
        <f>BF3</f>
        <v>5692627.79</v>
      </c>
      <c r="N3" s="612">
        <f>L3+M3</f>
        <v>5692627.79</v>
      </c>
      <c r="O3" s="612">
        <f>K3-N3</f>
        <v>8307367.4099999992</v>
      </c>
      <c r="P3" s="612">
        <f>N3</f>
        <v>5692627.79</v>
      </c>
      <c r="Q3" s="612">
        <f>BS3</f>
        <v>3275389.35</v>
      </c>
      <c r="R3" s="612">
        <f>P3+Q3</f>
        <v>8968017.1400000006</v>
      </c>
      <c r="S3" s="612">
        <f>K3-R3</f>
        <v>5031978.0599999987</v>
      </c>
      <c r="T3" s="612">
        <f>R3</f>
        <v>8968017.1400000006</v>
      </c>
      <c r="U3" s="612">
        <f>CF3</f>
        <v>0</v>
      </c>
      <c r="V3" s="612">
        <f t="shared" ref="V3:V8" si="0">T3+U3</f>
        <v>8968017.1400000006</v>
      </c>
      <c r="W3" s="612">
        <f>K3-V3</f>
        <v>5031978.0599999987</v>
      </c>
      <c r="X3" s="612">
        <f t="shared" ref="X3:X36" si="1">V3</f>
        <v>8968017.1400000006</v>
      </c>
      <c r="Y3" s="612">
        <f>CS3</f>
        <v>2060660.91</v>
      </c>
      <c r="Z3" s="612">
        <f>X3+Y3</f>
        <v>11028678.050000001</v>
      </c>
      <c r="AA3" s="612">
        <f>K3-Z3</f>
        <v>2971317.1499999985</v>
      </c>
      <c r="AB3" s="612">
        <f t="shared" ref="AB3:AB36" si="2">Z3</f>
        <v>11028678.050000001</v>
      </c>
      <c r="AC3" s="612">
        <f t="shared" ref="AC3:AC36" si="3">DF3</f>
        <v>0</v>
      </c>
      <c r="AD3" s="612">
        <f t="shared" ref="AD3:AD36" si="4">AB3+AC3</f>
        <v>11028678.050000001</v>
      </c>
      <c r="AE3" s="612">
        <f>K3-AD3</f>
        <v>2971317.1499999985</v>
      </c>
      <c r="AF3" s="612">
        <f>AD3</f>
        <v>11028678.050000001</v>
      </c>
      <c r="AG3" s="612">
        <f>DS3</f>
        <v>0</v>
      </c>
      <c r="AH3" s="612">
        <f>AF3+AG3</f>
        <v>11028678.050000001</v>
      </c>
      <c r="AI3" s="612">
        <f>K3-AH3</f>
        <v>2971317.1499999985</v>
      </c>
      <c r="AJ3" s="679">
        <v>0</v>
      </c>
      <c r="AK3" s="617">
        <v>60</v>
      </c>
      <c r="AL3" s="617" t="s">
        <v>1304</v>
      </c>
      <c r="AM3" s="617">
        <v>0</v>
      </c>
      <c r="AN3" s="617">
        <v>0</v>
      </c>
      <c r="AO3" s="617" t="s">
        <v>53</v>
      </c>
      <c r="AP3" s="617" t="s">
        <v>53</v>
      </c>
      <c r="AQ3" s="617" t="s">
        <v>53</v>
      </c>
      <c r="AR3" s="617" t="s">
        <v>54</v>
      </c>
      <c r="AS3" s="608" t="s">
        <v>345</v>
      </c>
      <c r="AT3" s="618">
        <f>1012826+2199999.99</f>
        <v>3212825.99</v>
      </c>
      <c r="AU3" s="618">
        <v>0</v>
      </c>
      <c r="AV3" s="618"/>
      <c r="AW3" s="618">
        <v>0</v>
      </c>
      <c r="AX3" s="618">
        <v>0</v>
      </c>
      <c r="AY3" s="618">
        <v>0</v>
      </c>
      <c r="AZ3" s="618">
        <v>0</v>
      </c>
      <c r="BA3" s="618">
        <v>1087884</v>
      </c>
      <c r="BB3" s="618">
        <v>0</v>
      </c>
      <c r="BC3" s="618">
        <v>0</v>
      </c>
      <c r="BD3" s="618">
        <v>0</v>
      </c>
      <c r="BE3" s="618">
        <v>1391917.8</v>
      </c>
      <c r="BF3" s="620">
        <f>SUM(AT3:BE3)</f>
        <v>5692627.79</v>
      </c>
      <c r="BG3" s="618">
        <v>1391917.8</v>
      </c>
      <c r="BH3" s="618">
        <v>0</v>
      </c>
      <c r="BI3" s="618">
        <v>0</v>
      </c>
      <c r="BJ3" s="618">
        <v>0</v>
      </c>
      <c r="BK3" s="618">
        <v>0</v>
      </c>
      <c r="BL3" s="618">
        <v>0</v>
      </c>
      <c r="BM3" s="618">
        <v>0</v>
      </c>
      <c r="BN3" s="618">
        <v>0</v>
      </c>
      <c r="BO3" s="618">
        <v>452632.61</v>
      </c>
      <c r="BP3" s="618">
        <v>0</v>
      </c>
      <c r="BQ3" s="618">
        <v>1430838.94</v>
      </c>
      <c r="BR3" s="618">
        <v>0</v>
      </c>
      <c r="BS3" s="620">
        <f>SUM(BG3:BR3)</f>
        <v>3275389.35</v>
      </c>
      <c r="BT3" s="618"/>
      <c r="BU3" s="618"/>
      <c r="BV3" s="618"/>
      <c r="BW3" s="618"/>
      <c r="BX3" s="618"/>
      <c r="BY3" s="618"/>
      <c r="BZ3" s="618"/>
      <c r="CA3" s="618"/>
      <c r="CB3" s="618"/>
      <c r="CC3" s="618"/>
      <c r="CD3" s="618"/>
      <c r="CE3" s="618"/>
      <c r="CF3" s="620">
        <f>SUM(BT3:CE3)</f>
        <v>0</v>
      </c>
      <c r="CG3" s="547">
        <v>0</v>
      </c>
      <c r="CH3" s="547">
        <v>1617826.2</v>
      </c>
      <c r="CI3" s="547"/>
      <c r="CJ3" s="547"/>
      <c r="CK3" s="547"/>
      <c r="CL3" s="547"/>
      <c r="CM3" s="547"/>
      <c r="CN3" s="547">
        <v>442834.71</v>
      </c>
      <c r="CO3" s="547"/>
      <c r="CP3" s="547"/>
      <c r="CQ3" s="547"/>
      <c r="CR3" s="547"/>
      <c r="CS3" s="547">
        <f>SUM(CG3:CR3)</f>
        <v>2060660.91</v>
      </c>
      <c r="CT3" s="547">
        <v>0</v>
      </c>
      <c r="CU3" s="547"/>
      <c r="CV3" s="547"/>
      <c r="CW3" s="547"/>
      <c r="CX3" s="547"/>
      <c r="CY3" s="547"/>
      <c r="CZ3" s="547"/>
      <c r="DA3" s="547"/>
      <c r="DB3" s="547"/>
      <c r="DC3" s="547"/>
      <c r="DD3" s="547"/>
      <c r="DE3" s="547"/>
      <c r="DF3" s="547">
        <f t="shared" ref="DF3:DF36" si="5">SUM(CT3:DE3)</f>
        <v>0</v>
      </c>
      <c r="DG3" s="742"/>
      <c r="DH3" s="743"/>
      <c r="DI3" s="743"/>
      <c r="DJ3" s="743"/>
      <c r="DK3" s="743"/>
      <c r="DL3" s="743"/>
      <c r="DM3" s="743"/>
      <c r="DN3" s="743"/>
      <c r="DO3" s="743"/>
      <c r="DP3" s="743"/>
      <c r="DQ3" s="743"/>
      <c r="DR3" s="743"/>
      <c r="DS3" s="743"/>
    </row>
    <row r="4" spans="1:123" s="624" customFormat="1" x14ac:dyDescent="0.2">
      <c r="A4" s="769"/>
      <c r="B4" s="770"/>
      <c r="C4" s="769"/>
      <c r="D4" s="469" t="s">
        <v>1402</v>
      </c>
      <c r="E4" s="469" t="s">
        <v>1296</v>
      </c>
      <c r="F4" s="469"/>
      <c r="G4" s="608"/>
      <c r="H4" s="608"/>
      <c r="I4" s="609"/>
      <c r="J4" s="609"/>
      <c r="K4" s="741">
        <v>13166741.630000001</v>
      </c>
      <c r="L4" s="612"/>
      <c r="M4" s="612">
        <f>BF4</f>
        <v>0</v>
      </c>
      <c r="N4" s="612">
        <f t="shared" ref="N4:N36" si="6">L4+M4</f>
        <v>0</v>
      </c>
      <c r="O4" s="612">
        <f t="shared" ref="O4:O36" si="7">K4-N4</f>
        <v>13166741.630000001</v>
      </c>
      <c r="P4" s="612">
        <f t="shared" ref="P4:P36" si="8">N4</f>
        <v>0</v>
      </c>
      <c r="Q4" s="612">
        <f t="shared" ref="Q4:Q36" si="9">BS4</f>
        <v>0</v>
      </c>
      <c r="R4" s="612">
        <f t="shared" ref="R4:R36" si="10">P4+Q4</f>
        <v>0</v>
      </c>
      <c r="S4" s="612">
        <f t="shared" ref="S4:S36" si="11">K4-R4</f>
        <v>13166741.630000001</v>
      </c>
      <c r="T4" s="612">
        <f t="shared" ref="T4:T36" si="12">R4</f>
        <v>0</v>
      </c>
      <c r="U4" s="612">
        <f t="shared" ref="U4:U36" si="13">CF4</f>
        <v>0</v>
      </c>
      <c r="V4" s="612">
        <f t="shared" si="0"/>
        <v>0</v>
      </c>
      <c r="W4" s="612">
        <f t="shared" ref="W4:W36" si="14">K4-V4</f>
        <v>13166741.630000001</v>
      </c>
      <c r="X4" s="612">
        <f t="shared" si="1"/>
        <v>0</v>
      </c>
      <c r="Y4" s="612">
        <f>CS4</f>
        <v>11539981.888999999</v>
      </c>
      <c r="Z4" s="612">
        <f>X4+Y4</f>
        <v>11539981.888999999</v>
      </c>
      <c r="AA4" s="612">
        <f t="shared" ref="AA4:AA36" si="15">K4-Z4</f>
        <v>1626759.7410000023</v>
      </c>
      <c r="AB4" s="612">
        <f t="shared" si="2"/>
        <v>11539981.888999999</v>
      </c>
      <c r="AC4" s="612">
        <f t="shared" si="3"/>
        <v>6090879.4500000002</v>
      </c>
      <c r="AD4" s="612">
        <f t="shared" si="4"/>
        <v>17630861.338999998</v>
      </c>
      <c r="AE4" s="612">
        <f t="shared" ref="AE4:AE36" si="16">K4-AD4</f>
        <v>-4464119.708999997</v>
      </c>
      <c r="AF4" s="612"/>
      <c r="AG4" s="612"/>
      <c r="AH4" s="612"/>
      <c r="AI4" s="612"/>
      <c r="AJ4" s="679"/>
      <c r="AK4" s="617"/>
      <c r="AL4" s="617"/>
      <c r="AM4" s="617"/>
      <c r="AN4" s="617"/>
      <c r="AO4" s="617"/>
      <c r="AP4" s="617"/>
      <c r="AQ4" s="617"/>
      <c r="AR4" s="617"/>
      <c r="AS4" s="608"/>
      <c r="AT4" s="618"/>
      <c r="AU4" s="618"/>
      <c r="AV4" s="618"/>
      <c r="AW4" s="618"/>
      <c r="AX4" s="618"/>
      <c r="AY4" s="618"/>
      <c r="AZ4" s="618"/>
      <c r="BA4" s="618"/>
      <c r="BB4" s="618"/>
      <c r="BC4" s="618"/>
      <c r="BD4" s="618"/>
      <c r="BE4" s="618"/>
      <c r="BF4" s="620"/>
      <c r="BG4" s="618"/>
      <c r="BH4" s="618"/>
      <c r="BI4" s="618"/>
      <c r="BJ4" s="618"/>
      <c r="BK4" s="618"/>
      <c r="BL4" s="618"/>
      <c r="BM4" s="618"/>
      <c r="BN4" s="618"/>
      <c r="BO4" s="618"/>
      <c r="BP4" s="618"/>
      <c r="BQ4" s="618"/>
      <c r="BR4" s="618"/>
      <c r="BS4" s="620"/>
      <c r="BT4" s="618"/>
      <c r="BU4" s="618"/>
      <c r="BV4" s="618"/>
      <c r="BW4" s="618"/>
      <c r="BX4" s="618"/>
      <c r="BY4" s="618"/>
      <c r="BZ4" s="618"/>
      <c r="CA4" s="618"/>
      <c r="CB4" s="618"/>
      <c r="CC4" s="618"/>
      <c r="CD4" s="618"/>
      <c r="CE4" s="618"/>
      <c r="CF4" s="620">
        <f>SUM(BT4:CE4)</f>
        <v>0</v>
      </c>
      <c r="CG4" s="547"/>
      <c r="CH4" s="547"/>
      <c r="CI4" s="547"/>
      <c r="CJ4" s="547"/>
      <c r="CK4" s="547"/>
      <c r="CL4" s="547">
        <v>2804685.3889999995</v>
      </c>
      <c r="CM4" s="547">
        <v>2201962.5</v>
      </c>
      <c r="CN4" s="547">
        <v>1631780.9999999998</v>
      </c>
      <c r="CO4" s="547"/>
      <c r="CP4" s="547">
        <v>1402114.5</v>
      </c>
      <c r="CQ4" s="547">
        <v>1706507.9999999998</v>
      </c>
      <c r="CR4" s="547">
        <v>1792930.4999999998</v>
      </c>
      <c r="CS4" s="547">
        <f>SUM(CG4:CR4)</f>
        <v>11539981.888999999</v>
      </c>
      <c r="CT4" s="547">
        <v>905469.75</v>
      </c>
      <c r="CU4" s="547">
        <v>379333.7</v>
      </c>
      <c r="CV4" s="547">
        <v>0</v>
      </c>
      <c r="CW4" s="547">
        <v>580635</v>
      </c>
      <c r="CX4" s="547">
        <v>0</v>
      </c>
      <c r="CY4" s="547">
        <v>929836.71</v>
      </c>
      <c r="CZ4" s="547"/>
      <c r="DA4" s="547"/>
      <c r="DB4" s="547">
        <v>809952.91</v>
      </c>
      <c r="DC4" s="547">
        <f>1689801.98+323941.15</f>
        <v>2013743.13</v>
      </c>
      <c r="DD4" s="547">
        <v>471908.25</v>
      </c>
      <c r="DE4" s="547"/>
      <c r="DF4" s="547">
        <f t="shared" si="5"/>
        <v>6090879.4500000002</v>
      </c>
      <c r="DG4" s="469"/>
      <c r="DH4" s="469">
        <v>1411571.92</v>
      </c>
      <c r="DI4" s="469">
        <v>462584.89</v>
      </c>
      <c r="DJ4" s="469">
        <v>713347.94</v>
      </c>
      <c r="DK4" s="469">
        <v>730544.4</v>
      </c>
      <c r="DL4" s="469">
        <v>1072529.1000000001</v>
      </c>
      <c r="DM4" s="469"/>
      <c r="DN4" s="469"/>
      <c r="DO4" s="469">
        <v>893774.25</v>
      </c>
      <c r="DP4" s="469"/>
      <c r="DQ4" s="469">
        <v>715019.4</v>
      </c>
      <c r="DR4" s="469"/>
      <c r="DS4" s="469">
        <f>SUM(DG4:DR4)</f>
        <v>5999371.9000000004</v>
      </c>
    </row>
    <row r="5" spans="1:123" s="624" customFormat="1" ht="36.75" x14ac:dyDescent="0.25">
      <c r="A5" s="745" t="s">
        <v>874</v>
      </c>
      <c r="B5" s="746" t="s">
        <v>57</v>
      </c>
      <c r="C5" s="608" t="s">
        <v>875</v>
      </c>
      <c r="D5" s="664" t="s">
        <v>876</v>
      </c>
      <c r="E5" s="664" t="s">
        <v>877</v>
      </c>
      <c r="F5" s="745" t="s">
        <v>49</v>
      </c>
      <c r="G5" s="745" t="s">
        <v>111</v>
      </c>
      <c r="H5" s="664" t="s">
        <v>322</v>
      </c>
      <c r="I5" s="665">
        <v>42319</v>
      </c>
      <c r="J5" s="665">
        <v>43415</v>
      </c>
      <c r="K5" s="664">
        <f>17145598.84+4130502.28</f>
        <v>21276101.120000001</v>
      </c>
      <c r="L5" s="664">
        <v>13348106.440000001</v>
      </c>
      <c r="M5" s="709">
        <f t="shared" ref="M5:M36" si="17">BF5</f>
        <v>0</v>
      </c>
      <c r="N5" s="709">
        <f t="shared" si="6"/>
        <v>13348106.440000001</v>
      </c>
      <c r="O5" s="709">
        <f t="shared" si="7"/>
        <v>7927994.6799999997</v>
      </c>
      <c r="P5" s="709">
        <f t="shared" si="8"/>
        <v>13348106.440000001</v>
      </c>
      <c r="Q5" s="709">
        <f t="shared" si="9"/>
        <v>0</v>
      </c>
      <c r="R5" s="709">
        <f t="shared" si="10"/>
        <v>13348106.440000001</v>
      </c>
      <c r="S5" s="709">
        <f t="shared" si="11"/>
        <v>7927994.6799999997</v>
      </c>
      <c r="T5" s="709">
        <f t="shared" si="12"/>
        <v>13348106.440000001</v>
      </c>
      <c r="U5" s="709">
        <f t="shared" si="13"/>
        <v>0</v>
      </c>
      <c r="V5" s="612">
        <f t="shared" si="0"/>
        <v>13348106.440000001</v>
      </c>
      <c r="W5" s="709">
        <f t="shared" si="14"/>
        <v>7927994.6799999997</v>
      </c>
      <c r="X5" s="709">
        <f t="shared" si="1"/>
        <v>13348106.440000001</v>
      </c>
      <c r="Y5" s="612">
        <f>CS5</f>
        <v>0</v>
      </c>
      <c r="Z5" s="612">
        <f>X5+Y5</f>
        <v>13348106.440000001</v>
      </c>
      <c r="AA5" s="709">
        <f t="shared" si="15"/>
        <v>7927994.6799999997</v>
      </c>
      <c r="AB5" s="709">
        <f t="shared" si="2"/>
        <v>13348106.440000001</v>
      </c>
      <c r="AC5" s="709">
        <f t="shared" si="3"/>
        <v>2306154.0869999998</v>
      </c>
      <c r="AD5" s="709">
        <f t="shared" si="4"/>
        <v>15654260.527000001</v>
      </c>
      <c r="AE5" s="709">
        <f t="shared" si="16"/>
        <v>5621840.5930000003</v>
      </c>
      <c r="AF5" s="709"/>
      <c r="AG5" s="709"/>
      <c r="AH5" s="709"/>
      <c r="AI5" s="709"/>
      <c r="AJ5" s="708"/>
      <c r="AK5" s="708"/>
      <c r="AL5" s="708"/>
      <c r="AM5" s="708"/>
      <c r="AN5" s="708"/>
      <c r="AO5" s="708"/>
      <c r="AP5" s="708"/>
      <c r="AQ5" s="708"/>
      <c r="AR5" s="708"/>
      <c r="AS5" s="747" t="s">
        <v>1617</v>
      </c>
      <c r="AT5" s="708"/>
      <c r="AU5" s="708"/>
      <c r="AV5" s="748"/>
      <c r="AW5" s="708"/>
      <c r="AX5" s="708"/>
      <c r="AY5" s="708"/>
      <c r="AZ5" s="708"/>
      <c r="BA5" s="708"/>
      <c r="BB5" s="708"/>
      <c r="BC5" s="708"/>
      <c r="BD5" s="708"/>
      <c r="BE5" s="708"/>
      <c r="BF5" s="708"/>
      <c r="BG5" s="708"/>
      <c r="BH5" s="708"/>
      <c r="BI5" s="748"/>
      <c r="BJ5" s="708"/>
      <c r="BK5" s="708"/>
      <c r="BL5" s="708"/>
      <c r="BM5" s="708"/>
      <c r="BN5" s="708"/>
      <c r="BO5" s="708"/>
      <c r="BP5" s="708"/>
      <c r="BQ5" s="708"/>
      <c r="BR5" s="708"/>
      <c r="BS5" s="708"/>
      <c r="BT5" s="708"/>
      <c r="BU5" s="708"/>
      <c r="BV5" s="749"/>
      <c r="BW5" s="664"/>
      <c r="BX5" s="664"/>
      <c r="BY5" s="664"/>
      <c r="BZ5" s="664"/>
      <c r="CA5" s="664"/>
      <c r="CB5" s="664"/>
      <c r="CC5" s="664"/>
      <c r="CD5" s="664"/>
      <c r="CE5" s="664"/>
      <c r="CF5" s="664"/>
      <c r="CG5" s="664"/>
      <c r="CH5" s="664"/>
      <c r="CI5" s="664"/>
      <c r="CJ5" s="664"/>
      <c r="CK5" s="664"/>
      <c r="CL5" s="664"/>
      <c r="CM5" s="664"/>
      <c r="CN5" s="664"/>
      <c r="CO5" s="664"/>
      <c r="CP5" s="664"/>
      <c r="CQ5" s="664"/>
      <c r="CR5" s="664"/>
      <c r="CS5" s="664"/>
      <c r="CT5" s="401"/>
      <c r="CU5" s="401"/>
      <c r="CV5" s="401"/>
      <c r="CW5" s="401"/>
      <c r="CX5" s="469"/>
      <c r="CY5" s="401">
        <v>815542.74</v>
      </c>
      <c r="CZ5" s="401"/>
      <c r="DA5" s="401"/>
      <c r="DB5" s="401"/>
      <c r="DC5" s="750">
        <v>900128.32199999993</v>
      </c>
      <c r="DD5" s="401"/>
      <c r="DE5" s="401">
        <v>590483.02499999991</v>
      </c>
      <c r="DF5" s="401">
        <f t="shared" si="5"/>
        <v>2306154.0869999998</v>
      </c>
      <c r="DG5" s="664"/>
      <c r="DH5" s="469"/>
      <c r="DI5" s="469">
        <v>414517.5</v>
      </c>
      <c r="DJ5" s="683">
        <v>205596.44</v>
      </c>
      <c r="DK5" s="469"/>
      <c r="DL5" s="683">
        <v>749366.37</v>
      </c>
      <c r="DM5" s="469"/>
      <c r="DN5" s="469"/>
      <c r="DO5" s="469"/>
      <c r="DP5" s="469"/>
      <c r="DQ5" s="469"/>
      <c r="DR5" s="469"/>
      <c r="DS5" s="469">
        <f t="shared" ref="DS5:DS54" si="18">SUM(DG5:DR5)</f>
        <v>1369480.31</v>
      </c>
    </row>
    <row r="6" spans="1:123" s="740" customFormat="1" x14ac:dyDescent="0.2">
      <c r="A6" s="780" t="s">
        <v>80</v>
      </c>
      <c r="B6" s="785" t="s">
        <v>57</v>
      </c>
      <c r="C6" s="780" t="s">
        <v>1900</v>
      </c>
      <c r="D6" s="686" t="s">
        <v>81</v>
      </c>
      <c r="E6" s="686" t="s">
        <v>82</v>
      </c>
      <c r="F6" s="780" t="s">
        <v>49</v>
      </c>
      <c r="G6" s="785" t="s">
        <v>50</v>
      </c>
      <c r="H6" s="785" t="s">
        <v>61</v>
      </c>
      <c r="I6" s="730">
        <v>43452</v>
      </c>
      <c r="J6" s="731">
        <v>43817</v>
      </c>
      <c r="K6" s="247">
        <v>5932519.9299999997</v>
      </c>
      <c r="L6" s="738">
        <v>1501672.19</v>
      </c>
      <c r="M6" s="263">
        <f t="shared" si="17"/>
        <v>364684.84900000005</v>
      </c>
      <c r="N6" s="263">
        <f t="shared" si="6"/>
        <v>1866357.0389999999</v>
      </c>
      <c r="O6" s="263">
        <f t="shared" si="7"/>
        <v>4066162.8909999998</v>
      </c>
      <c r="P6" s="263">
        <f t="shared" si="8"/>
        <v>1866357.0389999999</v>
      </c>
      <c r="Q6" s="263">
        <f t="shared" si="9"/>
        <v>356238.20250000001</v>
      </c>
      <c r="R6" s="263">
        <f t="shared" si="10"/>
        <v>2222595.2415</v>
      </c>
      <c r="S6" s="263">
        <f t="shared" si="11"/>
        <v>3709924.6884999997</v>
      </c>
      <c r="T6" s="263">
        <f t="shared" si="12"/>
        <v>2222595.2415</v>
      </c>
      <c r="U6" s="263">
        <f t="shared" si="13"/>
        <v>0</v>
      </c>
      <c r="V6" s="249">
        <f t="shared" si="0"/>
        <v>2222595.2415</v>
      </c>
      <c r="W6" s="263">
        <f t="shared" si="14"/>
        <v>3709924.6884999997</v>
      </c>
      <c r="X6" s="263">
        <f t="shared" si="1"/>
        <v>2222595.2415</v>
      </c>
      <c r="Y6" s="249">
        <f t="shared" ref="Y6:Y19" si="19">CS6</f>
        <v>0</v>
      </c>
      <c r="Z6" s="249">
        <f t="shared" ref="Z6:Z19" si="20">X6+Y6</f>
        <v>2222595.2415</v>
      </c>
      <c r="AA6" s="263">
        <f t="shared" si="15"/>
        <v>3709924.6884999997</v>
      </c>
      <c r="AB6" s="263">
        <f t="shared" si="2"/>
        <v>2222595.2415</v>
      </c>
      <c r="AC6" s="263">
        <f t="shared" si="3"/>
        <v>0</v>
      </c>
      <c r="AD6" s="263">
        <f t="shared" si="4"/>
        <v>2222595.2415</v>
      </c>
      <c r="AE6" s="263">
        <f t="shared" si="16"/>
        <v>3709924.6884999997</v>
      </c>
      <c r="AF6" s="263"/>
      <c r="AG6" s="263"/>
      <c r="AH6" s="263"/>
      <c r="AI6" s="263"/>
      <c r="AJ6" s="692">
        <v>0</v>
      </c>
      <c r="AK6" s="722">
        <v>12</v>
      </c>
      <c r="AL6" s="777" t="s">
        <v>1304</v>
      </c>
      <c r="AM6" s="685">
        <v>0</v>
      </c>
      <c r="AN6" s="685">
        <v>0</v>
      </c>
      <c r="AO6" s="685" t="s">
        <v>53</v>
      </c>
      <c r="AP6" s="685" t="s">
        <v>53</v>
      </c>
      <c r="AQ6" s="685" t="s">
        <v>53</v>
      </c>
      <c r="AR6" s="685" t="s">
        <v>54</v>
      </c>
      <c r="AS6" s="791" t="s">
        <v>1310</v>
      </c>
      <c r="AT6" s="739"/>
      <c r="AU6" s="739"/>
      <c r="AV6" s="739"/>
      <c r="AW6" s="739">
        <v>364684.84900000005</v>
      </c>
      <c r="AX6" s="739"/>
      <c r="AY6" s="739"/>
      <c r="AZ6" s="739"/>
      <c r="BA6" s="739"/>
      <c r="BB6" s="739"/>
      <c r="BC6" s="739"/>
      <c r="BD6" s="739"/>
      <c r="BE6" s="739"/>
      <c r="BF6" s="695">
        <f>SUBTOTAL(9,AT6:BE6)</f>
        <v>364684.84900000005</v>
      </c>
      <c r="BG6" s="248">
        <v>183890.0025</v>
      </c>
      <c r="BH6" s="248"/>
      <c r="BI6" s="248"/>
      <c r="BJ6" s="248">
        <v>172348.2</v>
      </c>
      <c r="BK6" s="248"/>
      <c r="BL6" s="248"/>
      <c r="BM6" s="248"/>
      <c r="BN6" s="248"/>
      <c r="BO6" s="248"/>
      <c r="BP6" s="248"/>
      <c r="BQ6" s="248"/>
      <c r="BR6" s="248"/>
      <c r="BS6" s="695">
        <f>SUM(BG6:BR6)</f>
        <v>356238.20250000001</v>
      </c>
      <c r="BT6" s="719"/>
      <c r="BU6" s="719"/>
      <c r="BV6" s="719"/>
      <c r="BW6" s="719"/>
      <c r="BX6" s="719"/>
      <c r="BY6" s="719"/>
      <c r="BZ6" s="719"/>
      <c r="CA6" s="719"/>
      <c r="CB6" s="719"/>
      <c r="CC6" s="719"/>
      <c r="CD6" s="719"/>
      <c r="CE6" s="719"/>
      <c r="CF6" s="723">
        <f>SUM(BT6:CE6)</f>
        <v>0</v>
      </c>
      <c r="CG6" s="719"/>
      <c r="CH6" s="719"/>
      <c r="CI6" s="719"/>
      <c r="CJ6" s="719"/>
      <c r="CK6" s="719"/>
      <c r="CL6" s="719"/>
      <c r="CM6" s="719"/>
      <c r="CN6" s="719"/>
      <c r="CO6" s="719"/>
      <c r="CP6" s="719"/>
      <c r="CQ6" s="719"/>
      <c r="CR6" s="719"/>
      <c r="CS6" s="719">
        <f t="shared" ref="CS6:CS19" si="21">SUM(CG6:CR6)</f>
        <v>0</v>
      </c>
      <c r="CT6" s="719"/>
      <c r="CU6" s="719"/>
      <c r="CV6" s="719"/>
      <c r="CW6" s="719"/>
      <c r="CX6" s="719"/>
      <c r="CY6" s="719"/>
      <c r="CZ6" s="719"/>
      <c r="DA6" s="719"/>
      <c r="DB6" s="719"/>
      <c r="DC6" s="719"/>
      <c r="DD6" s="719"/>
      <c r="DE6" s="719"/>
      <c r="DF6" s="681">
        <f t="shared" si="5"/>
        <v>0</v>
      </c>
      <c r="DG6" s="686"/>
      <c r="DH6" s="686"/>
      <c r="DI6" s="686"/>
      <c r="DJ6" s="686"/>
      <c r="DK6" s="686"/>
      <c r="DL6" s="686"/>
      <c r="DM6" s="686"/>
      <c r="DN6" s="686"/>
      <c r="DO6" s="686"/>
      <c r="DP6" s="686"/>
      <c r="DQ6" s="686"/>
      <c r="DR6" s="686"/>
      <c r="DS6" s="120">
        <f t="shared" si="18"/>
        <v>0</v>
      </c>
    </row>
    <row r="7" spans="1:123" s="740" customFormat="1" x14ac:dyDescent="0.2">
      <c r="A7" s="781"/>
      <c r="B7" s="786"/>
      <c r="C7" s="781"/>
      <c r="D7" s="686" t="s">
        <v>84</v>
      </c>
      <c r="E7" s="686" t="s">
        <v>85</v>
      </c>
      <c r="F7" s="781"/>
      <c r="G7" s="786"/>
      <c r="H7" s="786"/>
      <c r="I7" s="730" t="s">
        <v>1301</v>
      </c>
      <c r="J7" s="730" t="s">
        <v>1301</v>
      </c>
      <c r="K7" s="247">
        <v>0</v>
      </c>
      <c r="L7" s="738"/>
      <c r="M7" s="263">
        <f t="shared" si="17"/>
        <v>135703.50750000001</v>
      </c>
      <c r="N7" s="263">
        <f t="shared" si="6"/>
        <v>135703.50750000001</v>
      </c>
      <c r="O7" s="263">
        <f t="shared" si="7"/>
        <v>-135703.50750000001</v>
      </c>
      <c r="P7" s="263">
        <f t="shared" si="8"/>
        <v>135703.50750000001</v>
      </c>
      <c r="Q7" s="263">
        <f t="shared" si="9"/>
        <v>0</v>
      </c>
      <c r="R7" s="263">
        <f t="shared" si="10"/>
        <v>135703.50750000001</v>
      </c>
      <c r="S7" s="263">
        <f t="shared" si="11"/>
        <v>-135703.50750000001</v>
      </c>
      <c r="T7" s="263">
        <f t="shared" si="12"/>
        <v>135703.50750000001</v>
      </c>
      <c r="U7" s="263">
        <f t="shared" si="13"/>
        <v>0</v>
      </c>
      <c r="V7" s="249">
        <f t="shared" si="0"/>
        <v>135703.50750000001</v>
      </c>
      <c r="W7" s="263">
        <f t="shared" si="14"/>
        <v>-135703.50750000001</v>
      </c>
      <c r="X7" s="263">
        <f t="shared" si="1"/>
        <v>135703.50750000001</v>
      </c>
      <c r="Y7" s="249">
        <f t="shared" si="19"/>
        <v>0</v>
      </c>
      <c r="Z7" s="249">
        <f t="shared" si="20"/>
        <v>135703.50750000001</v>
      </c>
      <c r="AA7" s="263">
        <f t="shared" si="15"/>
        <v>-135703.50750000001</v>
      </c>
      <c r="AB7" s="263">
        <f t="shared" si="2"/>
        <v>135703.50750000001</v>
      </c>
      <c r="AC7" s="263">
        <f t="shared" si="3"/>
        <v>0</v>
      </c>
      <c r="AD7" s="263">
        <f t="shared" si="4"/>
        <v>135703.50750000001</v>
      </c>
      <c r="AE7" s="263">
        <f t="shared" si="16"/>
        <v>-135703.50750000001</v>
      </c>
      <c r="AF7" s="263"/>
      <c r="AG7" s="263"/>
      <c r="AH7" s="263"/>
      <c r="AI7" s="263"/>
      <c r="AJ7" s="692">
        <v>0</v>
      </c>
      <c r="AK7" s="730" t="s">
        <v>1301</v>
      </c>
      <c r="AL7" s="777"/>
      <c r="AM7" s="685">
        <v>0</v>
      </c>
      <c r="AN7" s="685">
        <v>0</v>
      </c>
      <c r="AO7" s="685" t="s">
        <v>53</v>
      </c>
      <c r="AP7" s="685" t="s">
        <v>53</v>
      </c>
      <c r="AQ7" s="685" t="s">
        <v>53</v>
      </c>
      <c r="AR7" s="685" t="s">
        <v>54</v>
      </c>
      <c r="AS7" s="791"/>
      <c r="AT7" s="739"/>
      <c r="AU7" s="739"/>
      <c r="AV7" s="739"/>
      <c r="AW7" s="739">
        <v>135703.50750000001</v>
      </c>
      <c r="AX7" s="739"/>
      <c r="AY7" s="739"/>
      <c r="AZ7" s="739"/>
      <c r="BA7" s="739"/>
      <c r="BB7" s="739"/>
      <c r="BC7" s="739"/>
      <c r="BD7" s="739"/>
      <c r="BE7" s="739"/>
      <c r="BF7" s="695">
        <f>SUBTOTAL(9,AT7:BE7)</f>
        <v>135703.50750000001</v>
      </c>
      <c r="BG7" s="248"/>
      <c r="BH7" s="248"/>
      <c r="BI7" s="248"/>
      <c r="BJ7" s="248"/>
      <c r="BK7" s="248"/>
      <c r="BL7" s="248"/>
      <c r="BM7" s="248"/>
      <c r="BN7" s="248"/>
      <c r="BO7" s="248"/>
      <c r="BP7" s="248"/>
      <c r="BQ7" s="248"/>
      <c r="BR7" s="248"/>
      <c r="BS7" s="695">
        <f>SUM(BG7:BR7)</f>
        <v>0</v>
      </c>
      <c r="BT7" s="719"/>
      <c r="BU7" s="719"/>
      <c r="BV7" s="719"/>
      <c r="BW7" s="719"/>
      <c r="BX7" s="719"/>
      <c r="BY7" s="719"/>
      <c r="BZ7" s="719"/>
      <c r="CA7" s="719"/>
      <c r="CB7" s="719"/>
      <c r="CC7" s="719"/>
      <c r="CD7" s="719"/>
      <c r="CE7" s="719"/>
      <c r="CF7" s="723">
        <f>SUM(BT7:CE7)</f>
        <v>0</v>
      </c>
      <c r="CG7" s="719"/>
      <c r="CH7" s="719"/>
      <c r="CI7" s="719"/>
      <c r="CJ7" s="719"/>
      <c r="CK7" s="719"/>
      <c r="CL7" s="719"/>
      <c r="CM7" s="719"/>
      <c r="CN7" s="719"/>
      <c r="CO7" s="719"/>
      <c r="CP7" s="719"/>
      <c r="CQ7" s="719"/>
      <c r="CR7" s="719"/>
      <c r="CS7" s="719">
        <f t="shared" si="21"/>
        <v>0</v>
      </c>
      <c r="CT7" s="719"/>
      <c r="CU7" s="719"/>
      <c r="CV7" s="719"/>
      <c r="CW7" s="719"/>
      <c r="CX7" s="719"/>
      <c r="CY7" s="719"/>
      <c r="CZ7" s="719"/>
      <c r="DA7" s="719"/>
      <c r="DB7" s="719"/>
      <c r="DC7" s="719"/>
      <c r="DD7" s="719"/>
      <c r="DE7" s="719"/>
      <c r="DF7" s="681">
        <f t="shared" si="5"/>
        <v>0</v>
      </c>
      <c r="DG7" s="686"/>
      <c r="DH7" s="686"/>
      <c r="DI7" s="686"/>
      <c r="DJ7" s="686"/>
      <c r="DK7" s="686"/>
      <c r="DL7" s="686"/>
      <c r="DM7" s="686"/>
      <c r="DN7" s="686"/>
      <c r="DO7" s="686"/>
      <c r="DP7" s="686"/>
      <c r="DQ7" s="686"/>
      <c r="DR7" s="686"/>
      <c r="DS7" s="120">
        <f t="shared" si="18"/>
        <v>0</v>
      </c>
    </row>
    <row r="8" spans="1:123" s="740" customFormat="1" x14ac:dyDescent="0.2">
      <c r="A8" s="781"/>
      <c r="B8" s="786"/>
      <c r="C8" s="781"/>
      <c r="D8" s="686" t="s">
        <v>86</v>
      </c>
      <c r="E8" s="686" t="s">
        <v>65</v>
      </c>
      <c r="F8" s="781"/>
      <c r="G8" s="786"/>
      <c r="H8" s="786"/>
      <c r="I8" s="730" t="s">
        <v>1301</v>
      </c>
      <c r="J8" s="730" t="s">
        <v>1301</v>
      </c>
      <c r="K8" s="247">
        <v>0</v>
      </c>
      <c r="L8" s="738"/>
      <c r="M8" s="263">
        <f t="shared" si="17"/>
        <v>0</v>
      </c>
      <c r="N8" s="263">
        <f t="shared" si="6"/>
        <v>0</v>
      </c>
      <c r="O8" s="263">
        <f t="shared" si="7"/>
        <v>0</v>
      </c>
      <c r="P8" s="263">
        <f t="shared" si="8"/>
        <v>0</v>
      </c>
      <c r="Q8" s="263">
        <f t="shared" si="9"/>
        <v>276684.96299999999</v>
      </c>
      <c r="R8" s="263">
        <f t="shared" si="10"/>
        <v>276684.96299999999</v>
      </c>
      <c r="S8" s="263">
        <f t="shared" si="11"/>
        <v>-276684.96299999999</v>
      </c>
      <c r="T8" s="263">
        <f t="shared" si="12"/>
        <v>276684.96299999999</v>
      </c>
      <c r="U8" s="263">
        <f t="shared" si="13"/>
        <v>0</v>
      </c>
      <c r="V8" s="249">
        <f t="shared" si="0"/>
        <v>276684.96299999999</v>
      </c>
      <c r="W8" s="263">
        <f t="shared" si="14"/>
        <v>-276684.96299999999</v>
      </c>
      <c r="X8" s="263">
        <f t="shared" si="1"/>
        <v>276684.96299999999</v>
      </c>
      <c r="Y8" s="249">
        <f t="shared" si="19"/>
        <v>0</v>
      </c>
      <c r="Z8" s="249">
        <f t="shared" si="20"/>
        <v>276684.96299999999</v>
      </c>
      <c r="AA8" s="263">
        <f t="shared" si="15"/>
        <v>-276684.96299999999</v>
      </c>
      <c r="AB8" s="263">
        <f t="shared" si="2"/>
        <v>276684.96299999999</v>
      </c>
      <c r="AC8" s="263">
        <f t="shared" si="3"/>
        <v>0</v>
      </c>
      <c r="AD8" s="263">
        <f t="shared" si="4"/>
        <v>276684.96299999999</v>
      </c>
      <c r="AE8" s="263">
        <f t="shared" si="16"/>
        <v>-276684.96299999999</v>
      </c>
      <c r="AF8" s="263"/>
      <c r="AG8" s="263"/>
      <c r="AH8" s="263"/>
      <c r="AI8" s="263"/>
      <c r="AJ8" s="692">
        <v>0</v>
      </c>
      <c r="AK8" s="730" t="s">
        <v>1301</v>
      </c>
      <c r="AL8" s="777"/>
      <c r="AM8" s="685">
        <v>0</v>
      </c>
      <c r="AN8" s="685">
        <v>0</v>
      </c>
      <c r="AO8" s="685" t="s">
        <v>53</v>
      </c>
      <c r="AP8" s="685" t="s">
        <v>53</v>
      </c>
      <c r="AQ8" s="685" t="s">
        <v>53</v>
      </c>
      <c r="AR8" s="685" t="s">
        <v>54</v>
      </c>
      <c r="AS8" s="791"/>
      <c r="AT8" s="739"/>
      <c r="AU8" s="739"/>
      <c r="AV8" s="739"/>
      <c r="AW8" s="739"/>
      <c r="AX8" s="739"/>
      <c r="AY8" s="739"/>
      <c r="AZ8" s="739"/>
      <c r="BA8" s="739"/>
      <c r="BB8" s="739"/>
      <c r="BC8" s="739"/>
      <c r="BD8" s="739"/>
      <c r="BE8" s="739"/>
      <c r="BF8" s="695">
        <f>SUBTOTAL(9,AT8:BE8)</f>
        <v>0</v>
      </c>
      <c r="BG8" s="248">
        <v>276684.96299999999</v>
      </c>
      <c r="BH8" s="248"/>
      <c r="BI8" s="248"/>
      <c r="BJ8" s="248"/>
      <c r="BK8" s="248"/>
      <c r="BL8" s="248"/>
      <c r="BM8" s="248"/>
      <c r="BN8" s="248"/>
      <c r="BO8" s="248"/>
      <c r="BP8" s="248"/>
      <c r="BQ8" s="248"/>
      <c r="BR8" s="248"/>
      <c r="BS8" s="695">
        <f>SUM(BG8:BR8)</f>
        <v>276684.96299999999</v>
      </c>
      <c r="BT8" s="719"/>
      <c r="BU8" s="719"/>
      <c r="BV8" s="719"/>
      <c r="BW8" s="719"/>
      <c r="BX8" s="719"/>
      <c r="BY8" s="719"/>
      <c r="BZ8" s="719"/>
      <c r="CA8" s="719"/>
      <c r="CB8" s="719"/>
      <c r="CC8" s="719"/>
      <c r="CD8" s="719"/>
      <c r="CE8" s="719"/>
      <c r="CF8" s="723">
        <f>SUM(BT8:CE8)</f>
        <v>0</v>
      </c>
      <c r="CG8" s="719"/>
      <c r="CH8" s="719"/>
      <c r="CI8" s="719"/>
      <c r="CJ8" s="719"/>
      <c r="CK8" s="719"/>
      <c r="CL8" s="719"/>
      <c r="CM8" s="719"/>
      <c r="CN8" s="719"/>
      <c r="CO8" s="719"/>
      <c r="CP8" s="719"/>
      <c r="CQ8" s="719"/>
      <c r="CR8" s="719"/>
      <c r="CS8" s="719">
        <f t="shared" si="21"/>
        <v>0</v>
      </c>
      <c r="CT8" s="719"/>
      <c r="CU8" s="719"/>
      <c r="CV8" s="719"/>
      <c r="CW8" s="719"/>
      <c r="CX8" s="719"/>
      <c r="CY8" s="719"/>
      <c r="CZ8" s="719"/>
      <c r="DA8" s="719"/>
      <c r="DB8" s="719"/>
      <c r="DC8" s="719"/>
      <c r="DD8" s="719"/>
      <c r="DE8" s="719"/>
      <c r="DF8" s="681">
        <f t="shared" si="5"/>
        <v>0</v>
      </c>
      <c r="DG8" s="686"/>
      <c r="DH8" s="686"/>
      <c r="DI8" s="686"/>
      <c r="DJ8" s="686"/>
      <c r="DK8" s="686"/>
      <c r="DL8" s="686"/>
      <c r="DM8" s="686"/>
      <c r="DN8" s="686"/>
      <c r="DO8" s="686"/>
      <c r="DP8" s="686"/>
      <c r="DQ8" s="686"/>
      <c r="DR8" s="686"/>
      <c r="DS8" s="120">
        <f t="shared" si="18"/>
        <v>0</v>
      </c>
    </row>
    <row r="9" spans="1:123" s="740" customFormat="1" x14ac:dyDescent="0.2">
      <c r="A9" s="781"/>
      <c r="B9" s="786"/>
      <c r="C9" s="781"/>
      <c r="D9" s="686" t="s">
        <v>2044</v>
      </c>
      <c r="E9" s="686" t="s">
        <v>1445</v>
      </c>
      <c r="F9" s="781"/>
      <c r="G9" s="786"/>
      <c r="H9" s="786"/>
      <c r="I9" s="730"/>
      <c r="J9" s="730"/>
      <c r="K9" s="247"/>
      <c r="L9" s="738"/>
      <c r="M9" s="263">
        <f t="shared" si="17"/>
        <v>0</v>
      </c>
      <c r="N9" s="263">
        <f t="shared" si="6"/>
        <v>0</v>
      </c>
      <c r="O9" s="263">
        <f t="shared" si="7"/>
        <v>0</v>
      </c>
      <c r="P9" s="263">
        <f t="shared" si="8"/>
        <v>0</v>
      </c>
      <c r="Q9" s="263">
        <f t="shared" si="9"/>
        <v>0</v>
      </c>
      <c r="R9" s="263">
        <f t="shared" si="10"/>
        <v>0</v>
      </c>
      <c r="S9" s="263">
        <f t="shared" si="11"/>
        <v>0</v>
      </c>
      <c r="T9" s="263">
        <f t="shared" si="12"/>
        <v>0</v>
      </c>
      <c r="U9" s="263">
        <f t="shared" si="13"/>
        <v>0</v>
      </c>
      <c r="V9" s="249"/>
      <c r="W9" s="263">
        <f t="shared" si="14"/>
        <v>0</v>
      </c>
      <c r="X9" s="263">
        <f t="shared" si="1"/>
        <v>0</v>
      </c>
      <c r="Y9" s="249">
        <f t="shared" si="19"/>
        <v>1104227.07</v>
      </c>
      <c r="Z9" s="249">
        <f t="shared" si="20"/>
        <v>1104227.07</v>
      </c>
      <c r="AA9" s="263">
        <f t="shared" si="15"/>
        <v>-1104227.07</v>
      </c>
      <c r="AB9" s="263">
        <f t="shared" si="2"/>
        <v>1104227.07</v>
      </c>
      <c r="AC9" s="263">
        <f t="shared" si="3"/>
        <v>0</v>
      </c>
      <c r="AD9" s="263">
        <f t="shared" si="4"/>
        <v>1104227.07</v>
      </c>
      <c r="AE9" s="263">
        <f t="shared" si="16"/>
        <v>-1104227.07</v>
      </c>
      <c r="AF9" s="263"/>
      <c r="AG9" s="263"/>
      <c r="AH9" s="263"/>
      <c r="AI9" s="263"/>
      <c r="AJ9" s="692">
        <v>0</v>
      </c>
      <c r="AK9" s="730"/>
      <c r="AL9" s="777"/>
      <c r="AM9" s="685"/>
      <c r="AN9" s="685"/>
      <c r="AO9" s="685"/>
      <c r="AP9" s="685"/>
      <c r="AQ9" s="685"/>
      <c r="AR9" s="685"/>
      <c r="AS9" s="791"/>
      <c r="AT9" s="739"/>
      <c r="AU9" s="739"/>
      <c r="AV9" s="739"/>
      <c r="AW9" s="739"/>
      <c r="AX9" s="739"/>
      <c r="AY9" s="739"/>
      <c r="AZ9" s="739"/>
      <c r="BA9" s="739"/>
      <c r="BB9" s="739"/>
      <c r="BC9" s="739"/>
      <c r="BD9" s="739"/>
      <c r="BE9" s="739"/>
      <c r="BF9" s="695"/>
      <c r="BG9" s="248"/>
      <c r="BH9" s="248"/>
      <c r="BI9" s="248"/>
      <c r="BJ9" s="248"/>
      <c r="BK9" s="248"/>
      <c r="BL9" s="248"/>
      <c r="BM9" s="248"/>
      <c r="BN9" s="248"/>
      <c r="BO9" s="248"/>
      <c r="BP9" s="248"/>
      <c r="BQ9" s="248"/>
      <c r="BR9" s="248"/>
      <c r="BS9" s="695"/>
      <c r="BT9" s="719"/>
      <c r="BU9" s="719"/>
      <c r="BV9" s="719"/>
      <c r="BW9" s="719"/>
      <c r="BX9" s="719"/>
      <c r="BY9" s="719"/>
      <c r="BZ9" s="719"/>
      <c r="CA9" s="719"/>
      <c r="CB9" s="719"/>
      <c r="CC9" s="719"/>
      <c r="CD9" s="719"/>
      <c r="CE9" s="719"/>
      <c r="CF9" s="723"/>
      <c r="CG9" s="719"/>
      <c r="CH9" s="719"/>
      <c r="CI9" s="719"/>
      <c r="CJ9" s="719"/>
      <c r="CK9" s="719">
        <v>1104227.07</v>
      </c>
      <c r="CL9" s="719"/>
      <c r="CM9" s="719"/>
      <c r="CN9" s="719"/>
      <c r="CO9" s="719"/>
      <c r="CP9" s="719"/>
      <c r="CQ9" s="719"/>
      <c r="CR9" s="719"/>
      <c r="CS9" s="719">
        <f t="shared" si="21"/>
        <v>1104227.07</v>
      </c>
      <c r="CT9" s="719"/>
      <c r="CU9" s="719"/>
      <c r="CV9" s="719"/>
      <c r="CW9" s="719"/>
      <c r="CX9" s="719"/>
      <c r="CY9" s="719"/>
      <c r="CZ9" s="719"/>
      <c r="DA9" s="719"/>
      <c r="DB9" s="719"/>
      <c r="DC9" s="719"/>
      <c r="DD9" s="719"/>
      <c r="DE9" s="719"/>
      <c r="DF9" s="681">
        <f t="shared" si="5"/>
        <v>0</v>
      </c>
      <c r="DG9" s="686"/>
      <c r="DH9" s="686"/>
      <c r="DI9" s="686"/>
      <c r="DJ9" s="686"/>
      <c r="DK9" s="686"/>
      <c r="DL9" s="686"/>
      <c r="DM9" s="686"/>
      <c r="DN9" s="686"/>
      <c r="DO9" s="686"/>
      <c r="DP9" s="686"/>
      <c r="DQ9" s="686"/>
      <c r="DR9" s="686"/>
      <c r="DS9" s="120">
        <f t="shared" si="18"/>
        <v>0</v>
      </c>
    </row>
    <row r="10" spans="1:123" s="740" customFormat="1" x14ac:dyDescent="0.2">
      <c r="A10" s="781"/>
      <c r="B10" s="786"/>
      <c r="C10" s="781"/>
      <c r="D10" s="686" t="s">
        <v>87</v>
      </c>
      <c r="E10" s="686" t="s">
        <v>88</v>
      </c>
      <c r="F10" s="781"/>
      <c r="G10" s="786"/>
      <c r="H10" s="786"/>
      <c r="I10" s="730">
        <v>43241</v>
      </c>
      <c r="J10" s="731">
        <v>43606</v>
      </c>
      <c r="K10" s="247">
        <v>180000</v>
      </c>
      <c r="L10" s="738">
        <v>783609.05</v>
      </c>
      <c r="M10" s="263">
        <f t="shared" si="17"/>
        <v>0</v>
      </c>
      <c r="N10" s="263">
        <f t="shared" si="6"/>
        <v>783609.05</v>
      </c>
      <c r="O10" s="263">
        <f t="shared" si="7"/>
        <v>-603609.05000000005</v>
      </c>
      <c r="P10" s="263">
        <f t="shared" si="8"/>
        <v>783609.05</v>
      </c>
      <c r="Q10" s="263">
        <f t="shared" si="9"/>
        <v>4288373.5060000001</v>
      </c>
      <c r="R10" s="263">
        <f t="shared" si="10"/>
        <v>5071982.5559999999</v>
      </c>
      <c r="S10" s="263">
        <f t="shared" si="11"/>
        <v>-4891982.5559999999</v>
      </c>
      <c r="T10" s="263">
        <f t="shared" si="12"/>
        <v>5071982.5559999999</v>
      </c>
      <c r="U10" s="263">
        <f t="shared" si="13"/>
        <v>5738657.0350000001</v>
      </c>
      <c r="V10" s="249">
        <f t="shared" ref="V10:V19" si="22">T10+U10</f>
        <v>10810639.591</v>
      </c>
      <c r="W10" s="263">
        <f t="shared" si="14"/>
        <v>-10630639.591</v>
      </c>
      <c r="X10" s="263">
        <f t="shared" si="1"/>
        <v>10810639.591</v>
      </c>
      <c r="Y10" s="249">
        <f t="shared" si="19"/>
        <v>0</v>
      </c>
      <c r="Z10" s="249">
        <f t="shared" si="20"/>
        <v>10810639.591</v>
      </c>
      <c r="AA10" s="263">
        <f t="shared" si="15"/>
        <v>-10630639.591</v>
      </c>
      <c r="AB10" s="263">
        <f t="shared" si="2"/>
        <v>10810639.591</v>
      </c>
      <c r="AC10" s="263">
        <f t="shared" si="3"/>
        <v>3515557.34</v>
      </c>
      <c r="AD10" s="263">
        <f t="shared" si="4"/>
        <v>14326196.931</v>
      </c>
      <c r="AE10" s="263">
        <f t="shared" si="16"/>
        <v>-14146196.931</v>
      </c>
      <c r="AF10" s="263"/>
      <c r="AG10" s="263"/>
      <c r="AH10" s="263"/>
      <c r="AI10" s="263"/>
      <c r="AJ10" s="692">
        <v>0</v>
      </c>
      <c r="AK10" s="752">
        <v>12</v>
      </c>
      <c r="AL10" s="777"/>
      <c r="AM10" s="685">
        <v>0</v>
      </c>
      <c r="AN10" s="685">
        <v>0</v>
      </c>
      <c r="AO10" s="685" t="s">
        <v>53</v>
      </c>
      <c r="AP10" s="685" t="s">
        <v>53</v>
      </c>
      <c r="AQ10" s="685" t="s">
        <v>53</v>
      </c>
      <c r="AR10" s="685" t="s">
        <v>54</v>
      </c>
      <c r="AS10" s="791"/>
      <c r="AT10" s="739"/>
      <c r="AU10" s="739"/>
      <c r="AV10" s="739"/>
      <c r="AW10" s="739"/>
      <c r="AX10" s="739"/>
      <c r="AY10" s="739"/>
      <c r="AZ10" s="739"/>
      <c r="BA10" s="739"/>
      <c r="BB10" s="739"/>
      <c r="BC10" s="739"/>
      <c r="BD10" s="739"/>
      <c r="BE10" s="739"/>
      <c r="BF10" s="695">
        <f>SUBTOTAL(9,AT10:BE10)</f>
        <v>0</v>
      </c>
      <c r="BG10" s="248"/>
      <c r="BH10" s="248"/>
      <c r="BI10" s="248"/>
      <c r="BJ10" s="248"/>
      <c r="BK10" s="248">
        <v>88987.7935</v>
      </c>
      <c r="BL10" s="248"/>
      <c r="BM10" s="248"/>
      <c r="BN10" s="248"/>
      <c r="BO10" s="248"/>
      <c r="BP10" s="248">
        <v>1127060.6625000001</v>
      </c>
      <c r="BQ10" s="248">
        <v>3072325.05</v>
      </c>
      <c r="BR10" s="248"/>
      <c r="BS10" s="695">
        <f>SUM(BG10:BR10)</f>
        <v>4288373.5060000001</v>
      </c>
      <c r="BT10" s="719">
        <v>2914666.0414999998</v>
      </c>
      <c r="BU10" s="719"/>
      <c r="BV10" s="719">
        <v>1012433.6304999999</v>
      </c>
      <c r="BW10" s="719"/>
      <c r="BX10" s="719"/>
      <c r="BY10" s="719"/>
      <c r="BZ10" s="719"/>
      <c r="CA10" s="719"/>
      <c r="CB10" s="719">
        <v>631683.52299999993</v>
      </c>
      <c r="CC10" s="719"/>
      <c r="CD10" s="719">
        <v>692761.15</v>
      </c>
      <c r="CE10" s="719">
        <v>487112.69</v>
      </c>
      <c r="CF10" s="723">
        <f t="shared" ref="CF10:CF19" si="23">SUM(BT10:CE10)</f>
        <v>5738657.0350000001</v>
      </c>
      <c r="CG10" s="719"/>
      <c r="CH10" s="719"/>
      <c r="CI10" s="719"/>
      <c r="CJ10" s="719"/>
      <c r="CK10" s="719"/>
      <c r="CL10" s="719"/>
      <c r="CM10" s="719"/>
      <c r="CN10" s="719"/>
      <c r="CO10" s="719"/>
      <c r="CP10" s="719"/>
      <c r="CQ10" s="719"/>
      <c r="CR10" s="719"/>
      <c r="CS10" s="719">
        <f t="shared" si="21"/>
        <v>0</v>
      </c>
      <c r="CT10" s="682"/>
      <c r="CU10" s="719">
        <f>796459.87+845058.56</f>
        <v>1641518.4300000002</v>
      </c>
      <c r="CV10" s="719"/>
      <c r="CW10" s="719">
        <v>907157.79</v>
      </c>
      <c r="CX10" s="719"/>
      <c r="CY10" s="682"/>
      <c r="CZ10" s="719">
        <v>400149.82</v>
      </c>
      <c r="DA10" s="719"/>
      <c r="DB10" s="719"/>
      <c r="DC10" s="719"/>
      <c r="DD10" s="719">
        <v>566731.30000000005</v>
      </c>
      <c r="DE10" s="719"/>
      <c r="DF10" s="681">
        <f t="shared" si="5"/>
        <v>3515557.34</v>
      </c>
      <c r="DG10" s="686"/>
      <c r="DH10" s="686"/>
      <c r="DI10" s="686"/>
      <c r="DJ10" s="686"/>
      <c r="DK10" s="686"/>
      <c r="DL10" s="686"/>
      <c r="DM10" s="686"/>
      <c r="DN10" s="686"/>
      <c r="DO10" s="686"/>
      <c r="DP10" s="686"/>
      <c r="DQ10" s="686"/>
      <c r="DR10" s="686"/>
      <c r="DS10" s="120">
        <f t="shared" si="18"/>
        <v>0</v>
      </c>
    </row>
    <row r="11" spans="1:123" s="740" customFormat="1" x14ac:dyDescent="0.2">
      <c r="A11" s="784"/>
      <c r="B11" s="787"/>
      <c r="C11" s="784"/>
      <c r="D11" s="686" t="s">
        <v>2043</v>
      </c>
      <c r="E11" s="686"/>
      <c r="F11" s="784"/>
      <c r="G11" s="787"/>
      <c r="H11" s="787"/>
      <c r="I11" s="730"/>
      <c r="J11" s="731"/>
      <c r="K11" s="247"/>
      <c r="L11" s="738"/>
      <c r="M11" s="263"/>
      <c r="N11" s="263"/>
      <c r="O11" s="263"/>
      <c r="P11" s="263"/>
      <c r="Q11" s="263"/>
      <c r="R11" s="263"/>
      <c r="S11" s="263"/>
      <c r="T11" s="263"/>
      <c r="U11" s="263"/>
      <c r="V11" s="249"/>
      <c r="W11" s="263"/>
      <c r="X11" s="263"/>
      <c r="Y11" s="249"/>
      <c r="Z11" s="249"/>
      <c r="AA11" s="263"/>
      <c r="AB11" s="263"/>
      <c r="AC11" s="263"/>
      <c r="AD11" s="263"/>
      <c r="AE11" s="263"/>
      <c r="AF11" s="263"/>
      <c r="AG11" s="263"/>
      <c r="AH11" s="263"/>
      <c r="AI11" s="263"/>
      <c r="AJ11" s="692"/>
      <c r="AK11" s="752"/>
      <c r="AL11" s="722"/>
      <c r="AM11" s="685"/>
      <c r="AN11" s="685"/>
      <c r="AO11" s="685"/>
      <c r="AP11" s="685"/>
      <c r="AQ11" s="685"/>
      <c r="AR11" s="685"/>
      <c r="AS11" s="735"/>
      <c r="AT11" s="739"/>
      <c r="AU11" s="739"/>
      <c r="AV11" s="739"/>
      <c r="AW11" s="739"/>
      <c r="AX11" s="739"/>
      <c r="AY11" s="739"/>
      <c r="AZ11" s="739"/>
      <c r="BA11" s="739"/>
      <c r="BB11" s="739"/>
      <c r="BC11" s="739"/>
      <c r="BD11" s="739"/>
      <c r="BE11" s="739"/>
      <c r="BF11" s="695"/>
      <c r="BG11" s="248"/>
      <c r="BH11" s="248"/>
      <c r="BI11" s="248"/>
      <c r="BJ11" s="248"/>
      <c r="BK11" s="248"/>
      <c r="BL11" s="248"/>
      <c r="BM11" s="248"/>
      <c r="BN11" s="248"/>
      <c r="BO11" s="248"/>
      <c r="BP11" s="248"/>
      <c r="BQ11" s="248"/>
      <c r="BR11" s="248"/>
      <c r="BS11" s="695"/>
      <c r="BT11" s="719"/>
      <c r="BU11" s="719"/>
      <c r="BV11" s="719"/>
      <c r="BW11" s="719"/>
      <c r="BX11" s="719"/>
      <c r="BY11" s="719"/>
      <c r="BZ11" s="719"/>
      <c r="CA11" s="719"/>
      <c r="CB11" s="719"/>
      <c r="CC11" s="719"/>
      <c r="CD11" s="719"/>
      <c r="CE11" s="719"/>
      <c r="CF11" s="723"/>
      <c r="CG11" s="719"/>
      <c r="CH11" s="719"/>
      <c r="CI11" s="719"/>
      <c r="CJ11" s="719"/>
      <c r="CK11" s="719"/>
      <c r="CL11" s="719"/>
      <c r="CM11" s="719"/>
      <c r="CN11" s="719"/>
      <c r="CO11" s="719"/>
      <c r="CP11" s="719"/>
      <c r="CQ11" s="719"/>
      <c r="CR11" s="719"/>
      <c r="CS11" s="719"/>
      <c r="CT11" s="682"/>
      <c r="CU11" s="719"/>
      <c r="CV11" s="719"/>
      <c r="CW11" s="719"/>
      <c r="CX11" s="719"/>
      <c r="CY11" s="682"/>
      <c r="CZ11" s="719"/>
      <c r="DA11" s="719"/>
      <c r="DB11" s="719"/>
      <c r="DC11" s="719">
        <v>2515722.52</v>
      </c>
      <c r="DD11" s="719"/>
      <c r="DE11" s="719">
        <v>1281681.29</v>
      </c>
      <c r="DF11" s="681"/>
      <c r="DG11" s="686"/>
      <c r="DH11" s="686"/>
      <c r="DI11" s="686"/>
      <c r="DJ11" s="686">
        <v>229842.86</v>
      </c>
      <c r="DK11" s="686"/>
      <c r="DL11" s="686"/>
      <c r="DM11" s="686"/>
      <c r="DN11" s="686"/>
      <c r="DO11" s="686"/>
      <c r="DP11" s="686"/>
      <c r="DQ11" s="686"/>
      <c r="DR11" s="686"/>
      <c r="DS11" s="120"/>
    </row>
    <row r="12" spans="1:123" s="740" customFormat="1" x14ac:dyDescent="0.2">
      <c r="A12" s="780" t="s">
        <v>99</v>
      </c>
      <c r="B12" s="782" t="s">
        <v>57</v>
      </c>
      <c r="C12" s="777" t="s">
        <v>100</v>
      </c>
      <c r="D12" s="686" t="s">
        <v>101</v>
      </c>
      <c r="E12" s="686" t="s">
        <v>102</v>
      </c>
      <c r="F12" s="686" t="s">
        <v>49</v>
      </c>
      <c r="G12" s="791" t="s">
        <v>50</v>
      </c>
      <c r="H12" s="791" t="s">
        <v>61</v>
      </c>
      <c r="I12" s="730">
        <v>43609</v>
      </c>
      <c r="J12" s="731">
        <v>43975</v>
      </c>
      <c r="K12" s="737">
        <v>15025390.439999999</v>
      </c>
      <c r="L12" s="738">
        <v>1068643.6100000001</v>
      </c>
      <c r="M12" s="263">
        <f t="shared" si="17"/>
        <v>955170.42699999991</v>
      </c>
      <c r="N12" s="263">
        <f t="shared" si="6"/>
        <v>2023814.037</v>
      </c>
      <c r="O12" s="263">
        <f t="shared" si="7"/>
        <v>13001576.402999999</v>
      </c>
      <c r="P12" s="263">
        <f t="shared" si="8"/>
        <v>2023814.037</v>
      </c>
      <c r="Q12" s="263">
        <f t="shared" si="9"/>
        <v>0</v>
      </c>
      <c r="R12" s="263">
        <f t="shared" si="10"/>
        <v>2023814.037</v>
      </c>
      <c r="S12" s="263">
        <f t="shared" si="11"/>
        <v>13001576.402999999</v>
      </c>
      <c r="T12" s="263">
        <f t="shared" si="12"/>
        <v>2023814.037</v>
      </c>
      <c r="U12" s="263">
        <f t="shared" si="13"/>
        <v>0</v>
      </c>
      <c r="V12" s="249">
        <f t="shared" si="22"/>
        <v>2023814.037</v>
      </c>
      <c r="W12" s="263">
        <f t="shared" si="14"/>
        <v>13001576.402999999</v>
      </c>
      <c r="X12" s="263">
        <f t="shared" si="1"/>
        <v>2023814.037</v>
      </c>
      <c r="Y12" s="249">
        <f t="shared" si="19"/>
        <v>0</v>
      </c>
      <c r="Z12" s="249">
        <f t="shared" si="20"/>
        <v>2023814.037</v>
      </c>
      <c r="AA12" s="263">
        <f t="shared" si="15"/>
        <v>13001576.402999999</v>
      </c>
      <c r="AB12" s="263">
        <f t="shared" si="2"/>
        <v>2023814.037</v>
      </c>
      <c r="AC12" s="263">
        <f t="shared" si="3"/>
        <v>0</v>
      </c>
      <c r="AD12" s="263">
        <f t="shared" si="4"/>
        <v>2023814.037</v>
      </c>
      <c r="AE12" s="263">
        <f t="shared" si="16"/>
        <v>13001576.402999999</v>
      </c>
      <c r="AF12" s="263"/>
      <c r="AG12" s="263"/>
      <c r="AH12" s="263"/>
      <c r="AI12" s="263"/>
      <c r="AJ12" s="692">
        <v>0</v>
      </c>
      <c r="AK12" s="722">
        <v>12</v>
      </c>
      <c r="AL12" s="777" t="s">
        <v>1304</v>
      </c>
      <c r="AM12" s="685">
        <v>0</v>
      </c>
      <c r="AN12" s="685">
        <v>0</v>
      </c>
      <c r="AO12" s="685" t="s">
        <v>53</v>
      </c>
      <c r="AP12" s="685" t="s">
        <v>53</v>
      </c>
      <c r="AQ12" s="685" t="s">
        <v>53</v>
      </c>
      <c r="AR12" s="685" t="s">
        <v>54</v>
      </c>
      <c r="AS12" s="791" t="s">
        <v>1311</v>
      </c>
      <c r="AT12" s="739"/>
      <c r="AU12" s="739">
        <v>278376.31400000001</v>
      </c>
      <c r="AV12" s="739">
        <v>117388.32</v>
      </c>
      <c r="AW12" s="739">
        <v>96958.673500000004</v>
      </c>
      <c r="AX12" s="739"/>
      <c r="AY12" s="739"/>
      <c r="AZ12" s="739"/>
      <c r="BA12" s="739">
        <v>263006.11550000001</v>
      </c>
      <c r="BB12" s="739">
        <v>199441.00399999999</v>
      </c>
      <c r="BC12" s="739"/>
      <c r="BD12" s="739"/>
      <c r="BE12" s="739"/>
      <c r="BF12" s="695">
        <f>SUBTOTAL(9,AT12:BE12)</f>
        <v>955170.42699999991</v>
      </c>
      <c r="BG12" s="248"/>
      <c r="BH12" s="248"/>
      <c r="BI12" s="248"/>
      <c r="BJ12" s="248"/>
      <c r="BK12" s="248"/>
      <c r="BL12" s="248"/>
      <c r="BM12" s="248"/>
      <c r="BN12" s="248"/>
      <c r="BO12" s="248"/>
      <c r="BP12" s="248"/>
      <c r="BQ12" s="248"/>
      <c r="BR12" s="248"/>
      <c r="BS12" s="695">
        <f>SUM(BG12:BR12)</f>
        <v>0</v>
      </c>
      <c r="BT12" s="719"/>
      <c r="BU12" s="719"/>
      <c r="BV12" s="719"/>
      <c r="BW12" s="719"/>
      <c r="BX12" s="719"/>
      <c r="BY12" s="719"/>
      <c r="BZ12" s="719"/>
      <c r="CA12" s="719"/>
      <c r="CB12" s="719"/>
      <c r="CC12" s="719"/>
      <c r="CD12" s="719"/>
      <c r="CE12" s="719"/>
      <c r="CF12" s="723">
        <f t="shared" si="23"/>
        <v>0</v>
      </c>
      <c r="CG12" s="719"/>
      <c r="CH12" s="719"/>
      <c r="CI12" s="686"/>
      <c r="CJ12" s="719"/>
      <c r="CK12" s="719"/>
      <c r="CL12" s="719"/>
      <c r="CM12" s="719"/>
      <c r="CN12" s="719"/>
      <c r="CO12" s="719"/>
      <c r="CP12" s="719"/>
      <c r="CQ12" s="719"/>
      <c r="CR12" s="719"/>
      <c r="CS12" s="719">
        <f t="shared" si="21"/>
        <v>0</v>
      </c>
      <c r="CT12" s="719"/>
      <c r="CU12" s="719"/>
      <c r="CV12" s="719"/>
      <c r="CW12" s="719"/>
      <c r="CX12" s="719"/>
      <c r="CY12" s="719"/>
      <c r="CZ12" s="719"/>
      <c r="DA12" s="719"/>
      <c r="DB12" s="719"/>
      <c r="DC12" s="719"/>
      <c r="DD12" s="719"/>
      <c r="DE12" s="719"/>
      <c r="DF12" s="681">
        <f t="shared" si="5"/>
        <v>0</v>
      </c>
      <c r="DG12" s="686"/>
      <c r="DH12" s="686"/>
      <c r="DI12" s="686"/>
      <c r="DJ12" s="686"/>
      <c r="DK12" s="686"/>
      <c r="DL12" s="686"/>
      <c r="DM12" s="686"/>
      <c r="DN12" s="686"/>
      <c r="DO12" s="686"/>
      <c r="DP12" s="686"/>
      <c r="DQ12" s="686"/>
      <c r="DR12" s="686"/>
      <c r="DS12" s="1">
        <f t="shared" si="18"/>
        <v>0</v>
      </c>
    </row>
    <row r="13" spans="1:123" s="740" customFormat="1" x14ac:dyDescent="0.2">
      <c r="A13" s="781"/>
      <c r="B13" s="783"/>
      <c r="C13" s="777"/>
      <c r="D13" s="686" t="s">
        <v>1307</v>
      </c>
      <c r="E13" s="686" t="s">
        <v>103</v>
      </c>
      <c r="F13" s="686" t="s">
        <v>49</v>
      </c>
      <c r="G13" s="791"/>
      <c r="H13" s="791"/>
      <c r="I13" s="731" t="s">
        <v>1301</v>
      </c>
      <c r="J13" s="731" t="s">
        <v>1301</v>
      </c>
      <c r="K13" s="736">
        <v>0</v>
      </c>
      <c r="L13" s="738"/>
      <c r="M13" s="263">
        <f t="shared" si="17"/>
        <v>0</v>
      </c>
      <c r="N13" s="263">
        <f t="shared" si="6"/>
        <v>0</v>
      </c>
      <c r="O13" s="263">
        <f t="shared" si="7"/>
        <v>0</v>
      </c>
      <c r="P13" s="263">
        <f t="shared" si="8"/>
        <v>0</v>
      </c>
      <c r="Q13" s="263">
        <f t="shared" si="9"/>
        <v>17451016.578000002</v>
      </c>
      <c r="R13" s="263">
        <f t="shared" si="10"/>
        <v>17451016.578000002</v>
      </c>
      <c r="S13" s="263">
        <f t="shared" si="11"/>
        <v>-17451016.578000002</v>
      </c>
      <c r="T13" s="263">
        <f t="shared" si="12"/>
        <v>17451016.578000002</v>
      </c>
      <c r="U13" s="263">
        <f t="shared" si="13"/>
        <v>0</v>
      </c>
      <c r="V13" s="249">
        <f t="shared" si="22"/>
        <v>17451016.578000002</v>
      </c>
      <c r="W13" s="263">
        <f t="shared" si="14"/>
        <v>-17451016.578000002</v>
      </c>
      <c r="X13" s="263">
        <f t="shared" si="1"/>
        <v>17451016.578000002</v>
      </c>
      <c r="Y13" s="249">
        <f t="shared" si="19"/>
        <v>0</v>
      </c>
      <c r="Z13" s="249">
        <f t="shared" si="20"/>
        <v>17451016.578000002</v>
      </c>
      <c r="AA13" s="263">
        <f t="shared" si="15"/>
        <v>-17451016.578000002</v>
      </c>
      <c r="AB13" s="263">
        <f t="shared" si="2"/>
        <v>17451016.578000002</v>
      </c>
      <c r="AC13" s="263">
        <f t="shared" si="3"/>
        <v>0</v>
      </c>
      <c r="AD13" s="263">
        <f t="shared" si="4"/>
        <v>17451016.578000002</v>
      </c>
      <c r="AE13" s="263">
        <f t="shared" si="16"/>
        <v>-17451016.578000002</v>
      </c>
      <c r="AF13" s="263"/>
      <c r="AG13" s="263"/>
      <c r="AH13" s="263"/>
      <c r="AI13" s="263"/>
      <c r="AJ13" s="692">
        <v>0</v>
      </c>
      <c r="AK13" s="731" t="s">
        <v>1301</v>
      </c>
      <c r="AL13" s="777"/>
      <c r="AM13" s="685">
        <v>0</v>
      </c>
      <c r="AN13" s="685">
        <v>0</v>
      </c>
      <c r="AO13" s="685" t="s">
        <v>53</v>
      </c>
      <c r="AP13" s="685" t="s">
        <v>53</v>
      </c>
      <c r="AQ13" s="685" t="s">
        <v>53</v>
      </c>
      <c r="AR13" s="685" t="s">
        <v>54</v>
      </c>
      <c r="AS13" s="791"/>
      <c r="AT13" s="739"/>
      <c r="AU13" s="739"/>
      <c r="AV13" s="739"/>
      <c r="AW13" s="739"/>
      <c r="AX13" s="739"/>
      <c r="AY13" s="739"/>
      <c r="AZ13" s="739"/>
      <c r="BA13" s="739"/>
      <c r="BB13" s="739"/>
      <c r="BC13" s="739"/>
      <c r="BD13" s="739"/>
      <c r="BE13" s="739"/>
      <c r="BF13" s="695">
        <f>SUBTOTAL(9,AT13:BE13)</f>
        <v>0</v>
      </c>
      <c r="BG13" s="248"/>
      <c r="BH13" s="248"/>
      <c r="BI13" s="248"/>
      <c r="BJ13" s="248"/>
      <c r="BK13" s="248"/>
      <c r="BL13" s="248">
        <v>2946928.4980000001</v>
      </c>
      <c r="BM13" s="248">
        <v>1933714.0175000001</v>
      </c>
      <c r="BN13" s="248">
        <v>2816763.6090000002</v>
      </c>
      <c r="BO13" s="248">
        <f>2417409.5835+2939475</f>
        <v>5356884.5834999997</v>
      </c>
      <c r="BP13" s="248">
        <f>1924121.6375+545550</f>
        <v>2469671.6375000002</v>
      </c>
      <c r="BQ13" s="248">
        <f>1348937.9825+578116.25</f>
        <v>1927054.2324999999</v>
      </c>
      <c r="BR13" s="248"/>
      <c r="BS13" s="695">
        <f>SUM(BG13:BR13)</f>
        <v>17451016.578000002</v>
      </c>
      <c r="BT13" s="719"/>
      <c r="BU13" s="719"/>
      <c r="BV13" s="719"/>
      <c r="BW13" s="719"/>
      <c r="BX13" s="719"/>
      <c r="BY13" s="719"/>
      <c r="BZ13" s="719"/>
      <c r="CA13" s="719"/>
      <c r="CB13" s="719"/>
      <c r="CC13" s="719"/>
      <c r="CD13" s="719"/>
      <c r="CE13" s="719"/>
      <c r="CF13" s="723">
        <f t="shared" si="23"/>
        <v>0</v>
      </c>
      <c r="CG13" s="719"/>
      <c r="CH13" s="719"/>
      <c r="CI13" s="719"/>
      <c r="CJ13" s="719"/>
      <c r="CK13" s="719"/>
      <c r="CL13" s="719"/>
      <c r="CM13" s="719"/>
      <c r="CN13" s="719"/>
      <c r="CO13" s="719"/>
      <c r="CP13" s="719"/>
      <c r="CQ13" s="719"/>
      <c r="CR13" s="719"/>
      <c r="CS13" s="719">
        <f t="shared" si="21"/>
        <v>0</v>
      </c>
      <c r="CT13" s="719"/>
      <c r="CU13" s="719"/>
      <c r="CV13" s="719"/>
      <c r="CW13" s="719"/>
      <c r="CX13" s="719"/>
      <c r="CY13" s="719"/>
      <c r="CZ13" s="719"/>
      <c r="DA13" s="719"/>
      <c r="DB13" s="719"/>
      <c r="DC13" s="719"/>
      <c r="DD13" s="719"/>
      <c r="DE13" s="719"/>
      <c r="DF13" s="681">
        <f t="shared" si="5"/>
        <v>0</v>
      </c>
      <c r="DG13" s="686"/>
      <c r="DH13" s="686"/>
      <c r="DI13" s="686"/>
      <c r="DJ13" s="686"/>
      <c r="DK13" s="686"/>
      <c r="DL13" s="686"/>
      <c r="DM13" s="686"/>
      <c r="DN13" s="686"/>
      <c r="DO13" s="686"/>
      <c r="DP13" s="686"/>
      <c r="DQ13" s="686"/>
      <c r="DR13" s="686"/>
      <c r="DS13" s="1">
        <f t="shared" si="18"/>
        <v>0</v>
      </c>
    </row>
    <row r="14" spans="1:123" s="740" customFormat="1" ht="15" x14ac:dyDescent="0.25">
      <c r="A14" s="781"/>
      <c r="B14" s="783"/>
      <c r="C14" s="777"/>
      <c r="D14" s="686" t="s">
        <v>1309</v>
      </c>
      <c r="E14" s="686" t="s">
        <v>88</v>
      </c>
      <c r="F14" s="686" t="s">
        <v>49</v>
      </c>
      <c r="G14" s="791"/>
      <c r="H14" s="791"/>
      <c r="I14" s="731" t="s">
        <v>1301</v>
      </c>
      <c r="J14" s="731" t="s">
        <v>1301</v>
      </c>
      <c r="K14" s="736">
        <v>0</v>
      </c>
      <c r="L14" s="738"/>
      <c r="M14" s="263">
        <f t="shared" si="17"/>
        <v>0</v>
      </c>
      <c r="N14" s="263">
        <f t="shared" si="6"/>
        <v>0</v>
      </c>
      <c r="O14" s="263">
        <f t="shared" si="7"/>
        <v>0</v>
      </c>
      <c r="P14" s="263">
        <f t="shared" si="8"/>
        <v>0</v>
      </c>
      <c r="Q14" s="263">
        <f t="shared" si="9"/>
        <v>0</v>
      </c>
      <c r="R14" s="263">
        <f t="shared" si="10"/>
        <v>0</v>
      </c>
      <c r="S14" s="263">
        <f t="shared" si="11"/>
        <v>0</v>
      </c>
      <c r="T14" s="263">
        <f t="shared" si="12"/>
        <v>0</v>
      </c>
      <c r="U14" s="263">
        <f t="shared" si="13"/>
        <v>4993608.99</v>
      </c>
      <c r="V14" s="249">
        <f t="shared" si="22"/>
        <v>4993608.99</v>
      </c>
      <c r="W14" s="263">
        <f t="shared" si="14"/>
        <v>-4993608.99</v>
      </c>
      <c r="X14" s="263">
        <f t="shared" si="1"/>
        <v>4993608.99</v>
      </c>
      <c r="Y14" s="249">
        <f t="shared" si="19"/>
        <v>3796119.6814999995</v>
      </c>
      <c r="Z14" s="249">
        <f t="shared" si="20"/>
        <v>8789728.6714999992</v>
      </c>
      <c r="AA14" s="263">
        <f t="shared" si="15"/>
        <v>-8789728.6714999992</v>
      </c>
      <c r="AB14" s="263">
        <f t="shared" si="2"/>
        <v>8789728.6714999992</v>
      </c>
      <c r="AC14" s="263">
        <f t="shared" si="3"/>
        <v>3822811.0725000002</v>
      </c>
      <c r="AD14" s="263">
        <f t="shared" si="4"/>
        <v>12612539.743999999</v>
      </c>
      <c r="AE14" s="263">
        <f t="shared" si="16"/>
        <v>-12612539.743999999</v>
      </c>
      <c r="AF14" s="263"/>
      <c r="AG14" s="263"/>
      <c r="AH14" s="263"/>
      <c r="AI14" s="263"/>
      <c r="AJ14" s="692">
        <v>0</v>
      </c>
      <c r="AK14" s="731" t="s">
        <v>1301</v>
      </c>
      <c r="AL14" s="777"/>
      <c r="AM14" s="685">
        <v>0</v>
      </c>
      <c r="AN14" s="685">
        <v>0</v>
      </c>
      <c r="AO14" s="685" t="s">
        <v>53</v>
      </c>
      <c r="AP14" s="685" t="s">
        <v>53</v>
      </c>
      <c r="AQ14" s="685" t="s">
        <v>53</v>
      </c>
      <c r="AR14" s="685" t="s">
        <v>54</v>
      </c>
      <c r="AS14" s="791"/>
      <c r="AT14" s="739"/>
      <c r="AU14" s="739"/>
      <c r="AV14" s="739"/>
      <c r="AW14" s="739"/>
      <c r="AX14" s="739"/>
      <c r="AY14" s="739"/>
      <c r="AZ14" s="739"/>
      <c r="BA14" s="739"/>
      <c r="BB14" s="739"/>
      <c r="BC14" s="739"/>
      <c r="BD14" s="739"/>
      <c r="BE14" s="739"/>
      <c r="BF14" s="695"/>
      <c r="BG14" s="248"/>
      <c r="BH14" s="248"/>
      <c r="BI14" s="248"/>
      <c r="BJ14" s="248"/>
      <c r="BK14" s="248"/>
      <c r="BL14" s="248"/>
      <c r="BM14" s="248"/>
      <c r="BN14" s="248"/>
      <c r="BO14" s="248"/>
      <c r="BP14" s="248"/>
      <c r="BQ14" s="248"/>
      <c r="BR14" s="248"/>
      <c r="BS14" s="695"/>
      <c r="BT14" s="719"/>
      <c r="BU14" s="719"/>
      <c r="BV14" s="719"/>
      <c r="BW14" s="719"/>
      <c r="BX14" s="719"/>
      <c r="BY14" s="719"/>
      <c r="BZ14" s="719"/>
      <c r="CA14" s="719"/>
      <c r="CB14" s="719"/>
      <c r="CC14" s="719"/>
      <c r="CD14" s="719">
        <v>527850</v>
      </c>
      <c r="CE14" s="719">
        <f>2157513+2308245.99</f>
        <v>4465758.99</v>
      </c>
      <c r="CF14" s="723">
        <f t="shared" si="23"/>
        <v>4993608.99</v>
      </c>
      <c r="CG14" s="719"/>
      <c r="CH14" s="719"/>
      <c r="CI14" s="719">
        <v>1504549.86</v>
      </c>
      <c r="CJ14" s="719"/>
      <c r="CK14" s="719"/>
      <c r="CL14" s="719"/>
      <c r="CM14" s="719"/>
      <c r="CN14" s="719"/>
      <c r="CO14" s="719"/>
      <c r="CP14" s="719"/>
      <c r="CQ14" s="719">
        <v>1420568.8029999998</v>
      </c>
      <c r="CR14" s="719">
        <v>871001.01849999989</v>
      </c>
      <c r="CS14" s="719">
        <f t="shared" si="21"/>
        <v>3796119.6814999995</v>
      </c>
      <c r="CT14" s="719">
        <f>796459.87+845058.56</f>
        <v>1641518.4300000002</v>
      </c>
      <c r="CU14" s="719"/>
      <c r="CV14" s="719">
        <v>0</v>
      </c>
      <c r="CW14" s="719">
        <v>907157.79</v>
      </c>
      <c r="CX14" s="719">
        <v>0</v>
      </c>
      <c r="CY14" s="719">
        <v>0</v>
      </c>
      <c r="CZ14" s="726">
        <v>460172.29299999995</v>
      </c>
      <c r="DA14" s="719"/>
      <c r="DB14" s="719"/>
      <c r="DC14" s="719"/>
      <c r="DD14" s="719">
        <v>566731.30449999997</v>
      </c>
      <c r="DE14" s="719">
        <v>247231.255</v>
      </c>
      <c r="DF14" s="681">
        <f t="shared" si="5"/>
        <v>3822811.0725000002</v>
      </c>
      <c r="DG14" s="686"/>
      <c r="DH14" s="686"/>
      <c r="DI14" s="686"/>
      <c r="DJ14" s="686"/>
      <c r="DK14" s="686">
        <v>697362.12</v>
      </c>
      <c r="DL14" s="686"/>
      <c r="DM14" s="686">
        <v>697362.12</v>
      </c>
      <c r="DN14" s="686"/>
      <c r="DO14" s="686"/>
      <c r="DP14" s="686"/>
      <c r="DQ14" s="686"/>
      <c r="DR14" s="686"/>
      <c r="DS14" s="1">
        <f t="shared" si="18"/>
        <v>1394724.24</v>
      </c>
    </row>
    <row r="15" spans="1:123" s="740" customFormat="1" x14ac:dyDescent="0.2">
      <c r="A15" s="781"/>
      <c r="B15" s="783"/>
      <c r="C15" s="777"/>
      <c r="D15" s="686" t="s">
        <v>86</v>
      </c>
      <c r="E15" s="686" t="s">
        <v>65</v>
      </c>
      <c r="F15" s="686" t="s">
        <v>49</v>
      </c>
      <c r="G15" s="791"/>
      <c r="H15" s="791"/>
      <c r="I15" s="730" t="s">
        <v>1301</v>
      </c>
      <c r="J15" s="730" t="s">
        <v>1301</v>
      </c>
      <c r="K15" s="736">
        <v>0</v>
      </c>
      <c r="L15" s="738"/>
      <c r="M15" s="263">
        <f t="shared" si="17"/>
        <v>0</v>
      </c>
      <c r="N15" s="263">
        <f t="shared" si="6"/>
        <v>0</v>
      </c>
      <c r="O15" s="263">
        <f t="shared" si="7"/>
        <v>0</v>
      </c>
      <c r="P15" s="263">
        <f t="shared" si="8"/>
        <v>0</v>
      </c>
      <c r="Q15" s="263">
        <f t="shared" si="9"/>
        <v>0</v>
      </c>
      <c r="R15" s="263">
        <f t="shared" si="10"/>
        <v>0</v>
      </c>
      <c r="S15" s="263">
        <f t="shared" si="11"/>
        <v>0</v>
      </c>
      <c r="T15" s="263">
        <f t="shared" si="12"/>
        <v>0</v>
      </c>
      <c r="U15" s="263">
        <f t="shared" si="13"/>
        <v>0</v>
      </c>
      <c r="V15" s="249">
        <f t="shared" si="22"/>
        <v>0</v>
      </c>
      <c r="W15" s="263">
        <f t="shared" si="14"/>
        <v>0</v>
      </c>
      <c r="X15" s="263">
        <f t="shared" si="1"/>
        <v>0</v>
      </c>
      <c r="Y15" s="249">
        <f t="shared" si="19"/>
        <v>0</v>
      </c>
      <c r="Z15" s="249">
        <f t="shared" si="20"/>
        <v>0</v>
      </c>
      <c r="AA15" s="263">
        <f t="shared" si="15"/>
        <v>0</v>
      </c>
      <c r="AB15" s="263">
        <f t="shared" si="2"/>
        <v>0</v>
      </c>
      <c r="AC15" s="263">
        <f t="shared" si="3"/>
        <v>0</v>
      </c>
      <c r="AD15" s="263">
        <f t="shared" si="4"/>
        <v>0</v>
      </c>
      <c r="AE15" s="263">
        <f t="shared" si="16"/>
        <v>0</v>
      </c>
      <c r="AF15" s="263"/>
      <c r="AG15" s="263"/>
      <c r="AH15" s="263"/>
      <c r="AI15" s="263"/>
      <c r="AJ15" s="692">
        <v>0</v>
      </c>
      <c r="AK15" s="730" t="s">
        <v>1301</v>
      </c>
      <c r="AL15" s="777"/>
      <c r="AM15" s="685">
        <v>0</v>
      </c>
      <c r="AN15" s="685">
        <v>0</v>
      </c>
      <c r="AO15" s="685" t="s">
        <v>53</v>
      </c>
      <c r="AP15" s="685" t="s">
        <v>53</v>
      </c>
      <c r="AQ15" s="685" t="s">
        <v>53</v>
      </c>
      <c r="AR15" s="685" t="s">
        <v>54</v>
      </c>
      <c r="AS15" s="791"/>
      <c r="AT15" s="739"/>
      <c r="AU15" s="739"/>
      <c r="AV15" s="739"/>
      <c r="AW15" s="739"/>
      <c r="AX15" s="739"/>
      <c r="AY15" s="739"/>
      <c r="AZ15" s="739"/>
      <c r="BA15" s="739"/>
      <c r="BB15" s="739"/>
      <c r="BC15" s="739"/>
      <c r="BD15" s="739"/>
      <c r="BE15" s="739"/>
      <c r="BF15" s="695">
        <f>SUBTOTAL(9,AT15:BE15)</f>
        <v>0</v>
      </c>
      <c r="BG15" s="248"/>
      <c r="BH15" s="248"/>
      <c r="BI15" s="248"/>
      <c r="BJ15" s="248"/>
      <c r="BK15" s="248"/>
      <c r="BL15" s="248"/>
      <c r="BM15" s="248"/>
      <c r="BN15" s="248"/>
      <c r="BO15" s="248"/>
      <c r="BP15" s="248"/>
      <c r="BQ15" s="248"/>
      <c r="BR15" s="248"/>
      <c r="BS15" s="695">
        <f>SUM(BG15:BR15)</f>
        <v>0</v>
      </c>
      <c r="BT15" s="719"/>
      <c r="BU15" s="719"/>
      <c r="BV15" s="719"/>
      <c r="BW15" s="719"/>
      <c r="BX15" s="719"/>
      <c r="BY15" s="719"/>
      <c r="BZ15" s="719"/>
      <c r="CA15" s="719"/>
      <c r="CB15" s="719"/>
      <c r="CC15" s="719"/>
      <c r="CD15" s="719"/>
      <c r="CE15" s="719"/>
      <c r="CF15" s="723">
        <f t="shared" si="23"/>
        <v>0</v>
      </c>
      <c r="CG15" s="719"/>
      <c r="CH15" s="719"/>
      <c r="CI15" s="719"/>
      <c r="CJ15" s="719"/>
      <c r="CK15" s="719"/>
      <c r="CL15" s="719"/>
      <c r="CM15" s="719"/>
      <c r="CN15" s="719"/>
      <c r="CO15" s="719"/>
      <c r="CP15" s="719"/>
      <c r="CQ15" s="719"/>
      <c r="CR15" s="719"/>
      <c r="CS15" s="719">
        <f t="shared" si="21"/>
        <v>0</v>
      </c>
      <c r="CT15" s="719"/>
      <c r="CU15" s="719"/>
      <c r="CV15" s="719"/>
      <c r="CW15" s="719"/>
      <c r="CX15" s="719"/>
      <c r="CY15" s="719"/>
      <c r="CZ15" s="719"/>
      <c r="DA15" s="719"/>
      <c r="DB15" s="719"/>
      <c r="DC15" s="719"/>
      <c r="DD15" s="719"/>
      <c r="DE15" s="719"/>
      <c r="DF15" s="681">
        <f t="shared" si="5"/>
        <v>0</v>
      </c>
      <c r="DG15" s="686"/>
      <c r="DH15" s="686"/>
      <c r="DI15" s="686"/>
      <c r="DJ15" s="686"/>
      <c r="DK15" s="686"/>
      <c r="DL15" s="686"/>
      <c r="DM15" s="686"/>
      <c r="DN15" s="686"/>
      <c r="DO15" s="686"/>
      <c r="DP15" s="686"/>
      <c r="DQ15" s="686"/>
      <c r="DR15" s="686"/>
      <c r="DS15" s="1">
        <f t="shared" si="18"/>
        <v>0</v>
      </c>
    </row>
    <row r="16" spans="1:123" s="740" customFormat="1" x14ac:dyDescent="0.2">
      <c r="A16" s="781"/>
      <c r="B16" s="783"/>
      <c r="C16" s="777"/>
      <c r="D16" s="686" t="s">
        <v>104</v>
      </c>
      <c r="E16" s="686" t="s">
        <v>105</v>
      </c>
      <c r="F16" s="686" t="s">
        <v>49</v>
      </c>
      <c r="G16" s="791"/>
      <c r="H16" s="791"/>
      <c r="I16" s="730">
        <v>42250</v>
      </c>
      <c r="J16" s="731">
        <v>42628</v>
      </c>
      <c r="K16" s="737">
        <v>560000</v>
      </c>
      <c r="L16" s="738"/>
      <c r="M16" s="263">
        <f t="shared" si="17"/>
        <v>0</v>
      </c>
      <c r="N16" s="263">
        <f t="shared" si="6"/>
        <v>0</v>
      </c>
      <c r="O16" s="263">
        <f t="shared" si="7"/>
        <v>560000</v>
      </c>
      <c r="P16" s="263">
        <f t="shared" si="8"/>
        <v>0</v>
      </c>
      <c r="Q16" s="263">
        <f t="shared" si="9"/>
        <v>0</v>
      </c>
      <c r="R16" s="263">
        <f t="shared" si="10"/>
        <v>0</v>
      </c>
      <c r="S16" s="263">
        <f t="shared" si="11"/>
        <v>560000</v>
      </c>
      <c r="T16" s="263">
        <f t="shared" si="12"/>
        <v>0</v>
      </c>
      <c r="U16" s="263">
        <f t="shared" si="13"/>
        <v>0</v>
      </c>
      <c r="V16" s="249">
        <f t="shared" si="22"/>
        <v>0</v>
      </c>
      <c r="W16" s="263">
        <f t="shared" si="14"/>
        <v>560000</v>
      </c>
      <c r="X16" s="263">
        <f t="shared" si="1"/>
        <v>0</v>
      </c>
      <c r="Y16" s="249">
        <f t="shared" si="19"/>
        <v>1150000</v>
      </c>
      <c r="Z16" s="249">
        <f t="shared" si="20"/>
        <v>1150000</v>
      </c>
      <c r="AA16" s="263">
        <f t="shared" si="15"/>
        <v>-590000</v>
      </c>
      <c r="AB16" s="263">
        <f t="shared" si="2"/>
        <v>1150000</v>
      </c>
      <c r="AC16" s="263">
        <f t="shared" si="3"/>
        <v>0</v>
      </c>
      <c r="AD16" s="263">
        <f t="shared" si="4"/>
        <v>1150000</v>
      </c>
      <c r="AE16" s="263">
        <f t="shared" si="16"/>
        <v>-590000</v>
      </c>
      <c r="AF16" s="263"/>
      <c r="AG16" s="263"/>
      <c r="AH16" s="263"/>
      <c r="AI16" s="263"/>
      <c r="AJ16" s="692">
        <v>0</v>
      </c>
      <c r="AK16" s="722">
        <v>12</v>
      </c>
      <c r="AL16" s="777"/>
      <c r="AM16" s="685">
        <v>0</v>
      </c>
      <c r="AN16" s="685">
        <v>0</v>
      </c>
      <c r="AO16" s="685" t="s">
        <v>53</v>
      </c>
      <c r="AP16" s="685" t="s">
        <v>53</v>
      </c>
      <c r="AQ16" s="685" t="s">
        <v>53</v>
      </c>
      <c r="AR16" s="685" t="s">
        <v>54</v>
      </c>
      <c r="AS16" s="791"/>
      <c r="AT16" s="739"/>
      <c r="AU16" s="739"/>
      <c r="AV16" s="739"/>
      <c r="AW16" s="739"/>
      <c r="AX16" s="739"/>
      <c r="AY16" s="739"/>
      <c r="AZ16" s="739"/>
      <c r="BA16" s="739"/>
      <c r="BB16" s="739"/>
      <c r="BC16" s="739"/>
      <c r="BD16" s="739"/>
      <c r="BE16" s="739"/>
      <c r="BF16" s="695">
        <f>SUBTOTAL(9,AT16:BE16)</f>
        <v>0</v>
      </c>
      <c r="BG16" s="248"/>
      <c r="BH16" s="248"/>
      <c r="BI16" s="248"/>
      <c r="BJ16" s="248"/>
      <c r="BK16" s="248"/>
      <c r="BL16" s="248"/>
      <c r="BM16" s="248"/>
      <c r="BN16" s="248"/>
      <c r="BO16" s="248"/>
      <c r="BP16" s="248"/>
      <c r="BQ16" s="248"/>
      <c r="BR16" s="248"/>
      <c r="BS16" s="695">
        <f>SUM(BG16:BR16)</f>
        <v>0</v>
      </c>
      <c r="BT16" s="719"/>
      <c r="BU16" s="719"/>
      <c r="BV16" s="719"/>
      <c r="BW16" s="719"/>
      <c r="BX16" s="719"/>
      <c r="BY16" s="719"/>
      <c r="BZ16" s="719"/>
      <c r="CA16" s="719"/>
      <c r="CB16" s="719"/>
      <c r="CC16" s="719"/>
      <c r="CD16" s="719"/>
      <c r="CE16" s="719"/>
      <c r="CF16" s="723">
        <f t="shared" si="23"/>
        <v>0</v>
      </c>
      <c r="CG16" s="719"/>
      <c r="CH16" s="719"/>
      <c r="CI16" s="719"/>
      <c r="CJ16" s="719"/>
      <c r="CK16" s="719"/>
      <c r="CL16" s="719"/>
      <c r="CM16" s="719"/>
      <c r="CN16" s="719"/>
      <c r="CO16" s="719"/>
      <c r="CP16" s="719"/>
      <c r="CQ16" s="719">
        <v>1150000</v>
      </c>
      <c r="CR16" s="719"/>
      <c r="CS16" s="719">
        <f t="shared" si="21"/>
        <v>1150000</v>
      </c>
      <c r="CT16" s="719"/>
      <c r="CU16" s="719"/>
      <c r="CV16" s="719"/>
      <c r="CW16" s="719"/>
      <c r="CX16" s="719"/>
      <c r="CY16" s="719"/>
      <c r="CZ16" s="719"/>
      <c r="DA16" s="719"/>
      <c r="DB16" s="719"/>
      <c r="DC16" s="719"/>
      <c r="DD16" s="719"/>
      <c r="DE16" s="719"/>
      <c r="DF16" s="681">
        <f t="shared" si="5"/>
        <v>0</v>
      </c>
      <c r="DG16" s="686"/>
      <c r="DH16" s="686"/>
      <c r="DI16" s="686"/>
      <c r="DJ16" s="686"/>
      <c r="DK16" s="686"/>
      <c r="DL16" s="686"/>
      <c r="DM16" s="686"/>
      <c r="DN16" s="686"/>
      <c r="DO16" s="686"/>
      <c r="DP16" s="686"/>
      <c r="DQ16" s="686"/>
      <c r="DR16" s="686"/>
      <c r="DS16" s="1">
        <f t="shared" si="18"/>
        <v>0</v>
      </c>
    </row>
    <row r="17" spans="1:123" s="696" customFormat="1" ht="24" x14ac:dyDescent="0.2">
      <c r="A17" s="722" t="s">
        <v>106</v>
      </c>
      <c r="B17" s="734" t="s">
        <v>107</v>
      </c>
      <c r="C17" s="684" t="s">
        <v>108</v>
      </c>
      <c r="D17" s="120" t="s">
        <v>109</v>
      </c>
      <c r="E17" s="686" t="s">
        <v>110</v>
      </c>
      <c r="F17" s="686" t="s">
        <v>49</v>
      </c>
      <c r="G17" s="735" t="s">
        <v>111</v>
      </c>
      <c r="H17" s="722" t="s">
        <v>61</v>
      </c>
      <c r="I17" s="730">
        <v>42917</v>
      </c>
      <c r="J17" s="731">
        <v>44013</v>
      </c>
      <c r="K17" s="736"/>
      <c r="L17" s="120"/>
      <c r="M17" s="263">
        <f t="shared" si="17"/>
        <v>8107972.3899999997</v>
      </c>
      <c r="N17" s="263">
        <f t="shared" si="6"/>
        <v>8107972.3899999997</v>
      </c>
      <c r="O17" s="263">
        <f t="shared" si="7"/>
        <v>-8107972.3899999997</v>
      </c>
      <c r="P17" s="263">
        <f t="shared" si="8"/>
        <v>8107972.3899999997</v>
      </c>
      <c r="Q17" s="263">
        <f t="shared" si="9"/>
        <v>5088818.5699999994</v>
      </c>
      <c r="R17" s="263">
        <f t="shared" si="10"/>
        <v>13196790.959999999</v>
      </c>
      <c r="S17" s="263">
        <f t="shared" si="11"/>
        <v>-13196790.959999999</v>
      </c>
      <c r="T17" s="263">
        <f t="shared" si="12"/>
        <v>13196790.959999999</v>
      </c>
      <c r="U17" s="263">
        <f t="shared" si="13"/>
        <v>3477810.5</v>
      </c>
      <c r="V17" s="249">
        <f t="shared" si="22"/>
        <v>16674601.459999999</v>
      </c>
      <c r="W17" s="263">
        <f t="shared" si="14"/>
        <v>-16674601.459999999</v>
      </c>
      <c r="X17" s="263">
        <f t="shared" si="1"/>
        <v>16674601.459999999</v>
      </c>
      <c r="Y17" s="249">
        <f t="shared" si="19"/>
        <v>0</v>
      </c>
      <c r="Z17" s="249">
        <f t="shared" si="20"/>
        <v>16674601.459999999</v>
      </c>
      <c r="AA17" s="263">
        <f t="shared" si="15"/>
        <v>-16674601.459999999</v>
      </c>
      <c r="AB17" s="263">
        <f t="shared" si="2"/>
        <v>16674601.459999999</v>
      </c>
      <c r="AC17" s="263">
        <f t="shared" si="3"/>
        <v>0</v>
      </c>
      <c r="AD17" s="263">
        <f t="shared" si="4"/>
        <v>16674601.459999999</v>
      </c>
      <c r="AE17" s="263">
        <f t="shared" si="16"/>
        <v>-16674601.459999999</v>
      </c>
      <c r="AF17" s="263"/>
      <c r="AG17" s="263"/>
      <c r="AH17" s="263"/>
      <c r="AI17" s="263"/>
      <c r="AJ17" s="692">
        <v>0</v>
      </c>
      <c r="AK17" s="687">
        <v>36</v>
      </c>
      <c r="AL17" s="722" t="s">
        <v>1304</v>
      </c>
      <c r="AM17" s="685">
        <v>0</v>
      </c>
      <c r="AN17" s="685">
        <v>0</v>
      </c>
      <c r="AO17" s="685" t="s">
        <v>53</v>
      </c>
      <c r="AP17" s="685" t="s">
        <v>53</v>
      </c>
      <c r="AQ17" s="685" t="s">
        <v>53</v>
      </c>
      <c r="AR17" s="685" t="s">
        <v>54</v>
      </c>
      <c r="AS17" s="694" t="s">
        <v>1312</v>
      </c>
      <c r="AT17" s="681"/>
      <c r="AU17" s="681">
        <v>540350.9</v>
      </c>
      <c r="AV17" s="681"/>
      <c r="AW17" s="681">
        <v>2159443.7799999998</v>
      </c>
      <c r="AX17" s="681">
        <f>481079.58+481330.07</f>
        <v>962409.65</v>
      </c>
      <c r="AY17" s="681">
        <f>452628.53+480060.06</f>
        <v>932688.59000000008</v>
      </c>
      <c r="AZ17" s="681">
        <f>73684.2+196491.21+235783.93</f>
        <v>505959.33999999997</v>
      </c>
      <c r="BA17" s="681">
        <v>216969.09</v>
      </c>
      <c r="BB17" s="681">
        <f>626566.43+680850.86</f>
        <v>1307417.29</v>
      </c>
      <c r="BC17" s="681"/>
      <c r="BD17" s="681">
        <f>85213.05+711743.94</f>
        <v>796956.99</v>
      </c>
      <c r="BE17" s="681">
        <f>85213.05+600563.71</f>
        <v>685776.76</v>
      </c>
      <c r="BF17" s="695">
        <f>SUBTOTAL(9,AT17:BE17)</f>
        <v>8107972.3899999997</v>
      </c>
      <c r="BG17" s="681"/>
      <c r="BH17" s="681"/>
      <c r="BI17" s="681">
        <f>1035589.4+853955.34+85213.05</f>
        <v>1974757.79</v>
      </c>
      <c r="BJ17" s="681">
        <f>937322.45+1568658.95</f>
        <v>2505981.4</v>
      </c>
      <c r="BK17" s="681"/>
      <c r="BL17" s="681"/>
      <c r="BM17" s="681"/>
      <c r="BN17" s="681">
        <f>522866.33+85213.05</f>
        <v>608079.38</v>
      </c>
      <c r="BO17" s="120"/>
      <c r="BP17" s="681"/>
      <c r="BQ17" s="681"/>
      <c r="BR17" s="681"/>
      <c r="BS17" s="695">
        <f>SUM(BG17:BR17)</f>
        <v>5088818.5699999994</v>
      </c>
      <c r="BT17" s="681"/>
      <c r="BU17" s="681">
        <v>976506.4</v>
      </c>
      <c r="BV17" s="681"/>
      <c r="BW17" s="681"/>
      <c r="BX17" s="681"/>
      <c r="BY17" s="681"/>
      <c r="BZ17" s="681"/>
      <c r="CA17" s="681"/>
      <c r="CB17" s="681">
        <f>1524797.7+976506.4</f>
        <v>2501304.1</v>
      </c>
      <c r="CC17" s="681"/>
      <c r="CD17" s="681"/>
      <c r="CE17" s="681"/>
      <c r="CF17" s="723">
        <f t="shared" si="23"/>
        <v>3477810.5</v>
      </c>
      <c r="CG17" s="681"/>
      <c r="CH17" s="681"/>
      <c r="CI17" s="681"/>
      <c r="CJ17" s="681"/>
      <c r="CK17" s="681"/>
      <c r="CL17" s="681"/>
      <c r="CM17" s="681"/>
      <c r="CN17" s="681"/>
      <c r="CO17" s="681"/>
      <c r="CP17" s="681"/>
      <c r="CQ17" s="681"/>
      <c r="CR17" s="681"/>
      <c r="CS17" s="719">
        <f t="shared" si="21"/>
        <v>0</v>
      </c>
      <c r="CT17" s="681"/>
      <c r="CU17" s="681"/>
      <c r="CV17" s="681"/>
      <c r="CW17" s="681"/>
      <c r="CX17" s="120"/>
      <c r="CY17" s="681"/>
      <c r="CZ17" s="681"/>
      <c r="DA17" s="681"/>
      <c r="DB17" s="681"/>
      <c r="DC17" s="681"/>
      <c r="DD17" s="681"/>
      <c r="DE17" s="681"/>
      <c r="DF17" s="681">
        <f t="shared" si="5"/>
        <v>0</v>
      </c>
      <c r="DG17" s="120"/>
      <c r="DH17" s="120"/>
      <c r="DI17" s="120"/>
      <c r="DJ17" s="120"/>
      <c r="DK17" s="120"/>
      <c r="DL17" s="120"/>
      <c r="DM17" s="120"/>
      <c r="DN17" s="120"/>
      <c r="DO17" s="120"/>
      <c r="DP17" s="120"/>
      <c r="DQ17" s="120"/>
      <c r="DR17" s="120"/>
      <c r="DS17" s="1">
        <f t="shared" si="18"/>
        <v>0</v>
      </c>
    </row>
    <row r="18" spans="1:123" s="696" customFormat="1" ht="24" x14ac:dyDescent="0.2">
      <c r="A18" s="722" t="s">
        <v>112</v>
      </c>
      <c r="B18" s="734" t="s">
        <v>107</v>
      </c>
      <c r="C18" s="684" t="s">
        <v>113</v>
      </c>
      <c r="D18" s="120" t="s">
        <v>109</v>
      </c>
      <c r="E18" s="686" t="s">
        <v>114</v>
      </c>
      <c r="F18" s="686" t="s">
        <v>49</v>
      </c>
      <c r="G18" s="735" t="s">
        <v>111</v>
      </c>
      <c r="H18" s="722" t="s">
        <v>61</v>
      </c>
      <c r="I18" s="730">
        <v>42917</v>
      </c>
      <c r="J18" s="731">
        <v>44013</v>
      </c>
      <c r="K18" s="736">
        <v>11340000</v>
      </c>
      <c r="L18" s="120"/>
      <c r="M18" s="263">
        <f t="shared" si="17"/>
        <v>446099.47</v>
      </c>
      <c r="N18" s="263">
        <f t="shared" si="6"/>
        <v>446099.47</v>
      </c>
      <c r="O18" s="263">
        <f t="shared" si="7"/>
        <v>10893900.529999999</v>
      </c>
      <c r="P18" s="263">
        <f t="shared" si="8"/>
        <v>446099.47</v>
      </c>
      <c r="Q18" s="263">
        <f t="shared" si="9"/>
        <v>6949169.6200000001</v>
      </c>
      <c r="R18" s="263">
        <f t="shared" si="10"/>
        <v>7395269.0899999999</v>
      </c>
      <c r="S18" s="263">
        <f t="shared" si="11"/>
        <v>3944730.91</v>
      </c>
      <c r="T18" s="263">
        <f t="shared" si="12"/>
        <v>7395269.0899999999</v>
      </c>
      <c r="U18" s="263">
        <f t="shared" si="13"/>
        <v>3049839.15</v>
      </c>
      <c r="V18" s="249">
        <f t="shared" si="22"/>
        <v>10445108.24</v>
      </c>
      <c r="W18" s="263">
        <f t="shared" si="14"/>
        <v>894891.75999999978</v>
      </c>
      <c r="X18" s="263">
        <f t="shared" si="1"/>
        <v>10445108.24</v>
      </c>
      <c r="Y18" s="249">
        <f t="shared" si="19"/>
        <v>1594675.3254999998</v>
      </c>
      <c r="Z18" s="249">
        <f t="shared" si="20"/>
        <v>12039783.5655</v>
      </c>
      <c r="AA18" s="263">
        <f t="shared" si="15"/>
        <v>-699783.56550000049</v>
      </c>
      <c r="AB18" s="263">
        <f t="shared" si="2"/>
        <v>12039783.5655</v>
      </c>
      <c r="AC18" s="263">
        <f>DF18</f>
        <v>1748911.09</v>
      </c>
      <c r="AD18" s="263">
        <f t="shared" si="4"/>
        <v>13788694.6555</v>
      </c>
      <c r="AE18" s="263">
        <f t="shared" si="16"/>
        <v>-2448694.6555000003</v>
      </c>
      <c r="AF18" s="263"/>
      <c r="AG18" s="263"/>
      <c r="AH18" s="263"/>
      <c r="AI18" s="263"/>
      <c r="AJ18" s="692">
        <v>0</v>
      </c>
      <c r="AK18" s="687">
        <v>36</v>
      </c>
      <c r="AL18" s="722" t="s">
        <v>1304</v>
      </c>
      <c r="AM18" s="685">
        <v>0</v>
      </c>
      <c r="AN18" s="685">
        <v>0</v>
      </c>
      <c r="AO18" s="685" t="s">
        <v>53</v>
      </c>
      <c r="AP18" s="685" t="s">
        <v>53</v>
      </c>
      <c r="AQ18" s="685" t="s">
        <v>53</v>
      </c>
      <c r="AR18" s="685" t="s">
        <v>54</v>
      </c>
      <c r="AS18" s="694" t="s">
        <v>1312</v>
      </c>
      <c r="AT18" s="681"/>
      <c r="AU18" s="681">
        <v>446099.47</v>
      </c>
      <c r="AV18" s="681"/>
      <c r="AW18" s="681"/>
      <c r="AX18" s="681"/>
      <c r="AY18" s="681"/>
      <c r="AZ18" s="681"/>
      <c r="BA18" s="681"/>
      <c r="BB18" s="681"/>
      <c r="BC18" s="681"/>
      <c r="BD18" s="681"/>
      <c r="BE18" s="681"/>
      <c r="BF18" s="695">
        <f>SUBTOTAL(9,AT18:BE18)</f>
        <v>446099.47</v>
      </c>
      <c r="BG18" s="681"/>
      <c r="BH18" s="681"/>
      <c r="BI18" s="681"/>
      <c r="BJ18" s="681"/>
      <c r="BK18" s="681">
        <f>1203577.58+905807.95</f>
        <v>2109385.5300000003</v>
      </c>
      <c r="BL18" s="681">
        <v>1955898.92</v>
      </c>
      <c r="BM18" s="681"/>
      <c r="BN18" s="681">
        <v>247038.53</v>
      </c>
      <c r="BO18" s="681">
        <f>559245.47</f>
        <v>559245.47</v>
      </c>
      <c r="BP18" s="681">
        <v>746585.26</v>
      </c>
      <c r="BQ18" s="681">
        <f>1083977.38+247038.53</f>
        <v>1331015.9099999999</v>
      </c>
      <c r="BR18" s="681"/>
      <c r="BS18" s="695">
        <f>SUM(BG18:BR18)</f>
        <v>6949169.6200000001</v>
      </c>
      <c r="BT18" s="681"/>
      <c r="BU18" s="681">
        <f>82346.18+773808.45+426504.56+242382.26</f>
        <v>1525041.45</v>
      </c>
      <c r="BV18" s="681"/>
      <c r="BW18" s="681"/>
      <c r="BX18" s="681"/>
      <c r="BY18" s="681"/>
      <c r="BZ18" s="681"/>
      <c r="CA18" s="681"/>
      <c r="CB18" s="681">
        <f>1524797.7</f>
        <v>1524797.7</v>
      </c>
      <c r="CC18" s="681"/>
      <c r="CD18" s="681"/>
      <c r="CE18" s="681"/>
      <c r="CF18" s="723">
        <f t="shared" si="23"/>
        <v>3049839.15</v>
      </c>
      <c r="CG18" s="681"/>
      <c r="CH18" s="681"/>
      <c r="CI18" s="681">
        <f>82346.18+402184.96</f>
        <v>484531.14</v>
      </c>
      <c r="CJ18" s="681"/>
      <c r="CK18" s="681"/>
      <c r="CL18" s="681"/>
      <c r="CM18" s="681"/>
      <c r="CN18" s="681"/>
      <c r="CO18" s="681">
        <v>880750.83349999995</v>
      </c>
      <c r="CP18" s="681"/>
      <c r="CQ18" s="681"/>
      <c r="CR18" s="681">
        <v>229393.35199999998</v>
      </c>
      <c r="CS18" s="719">
        <f t="shared" si="21"/>
        <v>1594675.3254999998</v>
      </c>
      <c r="CT18" s="681"/>
      <c r="CU18" s="681"/>
      <c r="CV18" s="681"/>
      <c r="CW18" s="681"/>
      <c r="CX18" s="681">
        <v>284800.01</v>
      </c>
      <c r="CY18" s="681">
        <v>0</v>
      </c>
      <c r="CZ18" s="681"/>
      <c r="DA18" s="681"/>
      <c r="DB18" s="681">
        <f>324864.4+1139246.68</f>
        <v>1464111.08</v>
      </c>
      <c r="DC18" s="681"/>
      <c r="DD18" s="681"/>
      <c r="DE18" s="681"/>
      <c r="DF18" s="681">
        <f t="shared" si="5"/>
        <v>1748911.09</v>
      </c>
      <c r="DG18" s="120"/>
      <c r="DH18" s="120"/>
      <c r="DI18" s="120"/>
      <c r="DJ18" s="120"/>
      <c r="DK18" s="120"/>
      <c r="DL18" s="120"/>
      <c r="DM18" s="120">
        <v>569623.34</v>
      </c>
      <c r="DN18" s="120"/>
      <c r="DO18" s="120"/>
      <c r="DP18" s="120"/>
      <c r="DQ18" s="120"/>
      <c r="DR18" s="120"/>
      <c r="DS18" s="1">
        <f t="shared" si="18"/>
        <v>569623.34</v>
      </c>
    </row>
    <row r="19" spans="1:123" s="696" customFormat="1" ht="24" x14ac:dyDescent="0.2">
      <c r="A19" s="722" t="s">
        <v>115</v>
      </c>
      <c r="B19" s="734" t="s">
        <v>107</v>
      </c>
      <c r="C19" s="684" t="s">
        <v>1868</v>
      </c>
      <c r="D19" s="120" t="s">
        <v>109</v>
      </c>
      <c r="E19" s="686" t="s">
        <v>116</v>
      </c>
      <c r="F19" s="686" t="s">
        <v>49</v>
      </c>
      <c r="G19" s="735" t="s">
        <v>111</v>
      </c>
      <c r="H19" s="722" t="s">
        <v>61</v>
      </c>
      <c r="I19" s="730">
        <v>42917</v>
      </c>
      <c r="J19" s="731">
        <v>44013</v>
      </c>
      <c r="K19" s="736"/>
      <c r="L19" s="120"/>
      <c r="M19" s="263">
        <f t="shared" si="17"/>
        <v>7073148.5199999996</v>
      </c>
      <c r="N19" s="263">
        <f t="shared" si="6"/>
        <v>7073148.5199999996</v>
      </c>
      <c r="O19" s="263">
        <f t="shared" si="7"/>
        <v>-7073148.5199999996</v>
      </c>
      <c r="P19" s="263">
        <f t="shared" si="8"/>
        <v>7073148.5199999996</v>
      </c>
      <c r="Q19" s="263">
        <f t="shared" si="9"/>
        <v>5088818.54</v>
      </c>
      <c r="R19" s="263">
        <f t="shared" si="10"/>
        <v>12161967.059999999</v>
      </c>
      <c r="S19" s="263">
        <f t="shared" si="11"/>
        <v>-12161967.059999999</v>
      </c>
      <c r="T19" s="263">
        <f t="shared" si="12"/>
        <v>12161967.059999999</v>
      </c>
      <c r="U19" s="263">
        <f t="shared" si="13"/>
        <v>0</v>
      </c>
      <c r="V19" s="249">
        <f t="shared" si="22"/>
        <v>12161967.059999999</v>
      </c>
      <c r="W19" s="263">
        <f t="shared" si="14"/>
        <v>-12161967.059999999</v>
      </c>
      <c r="X19" s="263">
        <f t="shared" si="1"/>
        <v>12161967.059999999</v>
      </c>
      <c r="Y19" s="249">
        <f t="shared" si="19"/>
        <v>0</v>
      </c>
      <c r="Z19" s="249">
        <f t="shared" si="20"/>
        <v>12161967.059999999</v>
      </c>
      <c r="AA19" s="263">
        <f t="shared" si="15"/>
        <v>-12161967.059999999</v>
      </c>
      <c r="AB19" s="263">
        <f t="shared" si="2"/>
        <v>12161967.059999999</v>
      </c>
      <c r="AC19" s="263">
        <f t="shared" si="3"/>
        <v>0</v>
      </c>
      <c r="AD19" s="263">
        <f t="shared" si="4"/>
        <v>12161967.059999999</v>
      </c>
      <c r="AE19" s="263">
        <f>K19-AD19</f>
        <v>-12161967.059999999</v>
      </c>
      <c r="AF19" s="263"/>
      <c r="AG19" s="263"/>
      <c r="AH19" s="263"/>
      <c r="AI19" s="263"/>
      <c r="AJ19" s="692">
        <v>0</v>
      </c>
      <c r="AK19" s="687">
        <v>36</v>
      </c>
      <c r="AL19" s="722" t="s">
        <v>1304</v>
      </c>
      <c r="AM19" s="685">
        <v>0</v>
      </c>
      <c r="AN19" s="685">
        <v>0</v>
      </c>
      <c r="AO19" s="685" t="s">
        <v>53</v>
      </c>
      <c r="AP19" s="685" t="s">
        <v>53</v>
      </c>
      <c r="AQ19" s="685" t="s">
        <v>53</v>
      </c>
      <c r="AR19" s="685" t="s">
        <v>54</v>
      </c>
      <c r="AS19" s="694" t="s">
        <v>1312</v>
      </c>
      <c r="AT19" s="681"/>
      <c r="AU19" s="681">
        <v>540350.9</v>
      </c>
      <c r="AV19" s="681"/>
      <c r="AW19" s="681">
        <v>2159443.7799999998</v>
      </c>
      <c r="AX19" s="681">
        <v>481330.07</v>
      </c>
      <c r="AY19" s="681">
        <v>452628.53</v>
      </c>
      <c r="AZ19" s="681">
        <f>196491.21+235783.92</f>
        <v>432275.13</v>
      </c>
      <c r="BA19" s="681">
        <v>216969.09</v>
      </c>
      <c r="BB19" s="681">
        <f>626566.43+680850.86</f>
        <v>1307417.29</v>
      </c>
      <c r="BC19" s="681"/>
      <c r="BD19" s="681">
        <f>85213.04+711743.94</f>
        <v>796956.98</v>
      </c>
      <c r="BE19" s="681">
        <f>85213.04+600563.71</f>
        <v>685776.75</v>
      </c>
      <c r="BF19" s="695">
        <f>SUBTOTAL(9,AT19:BE19)</f>
        <v>7073148.5199999996</v>
      </c>
      <c r="BG19" s="681"/>
      <c r="BH19" s="681"/>
      <c r="BI19" s="681">
        <f>1035589.4+85213.04+853955.34</f>
        <v>1974757.7799999998</v>
      </c>
      <c r="BJ19" s="681">
        <f>1568658.95+937322.45</f>
        <v>2505981.4</v>
      </c>
      <c r="BK19" s="681"/>
      <c r="BL19" s="681"/>
      <c r="BM19" s="681"/>
      <c r="BN19" s="681">
        <f>85213.04+522866.32</f>
        <v>608079.35999999999</v>
      </c>
      <c r="BO19" s="681"/>
      <c r="BP19" s="681"/>
      <c r="BQ19" s="681"/>
      <c r="BR19" s="681"/>
      <c r="BS19" s="695">
        <f>SUM(BG19:BR19)</f>
        <v>5088818.54</v>
      </c>
      <c r="BT19" s="681"/>
      <c r="BU19" s="681"/>
      <c r="BV19" s="681"/>
      <c r="BW19" s="681"/>
      <c r="BX19" s="681"/>
      <c r="BY19" s="681"/>
      <c r="BZ19" s="681"/>
      <c r="CA19" s="681"/>
      <c r="CB19" s="681"/>
      <c r="CC19" s="681"/>
      <c r="CD19" s="681"/>
      <c r="CE19" s="681"/>
      <c r="CF19" s="723">
        <f t="shared" si="23"/>
        <v>0</v>
      </c>
      <c r="CG19" s="681"/>
      <c r="CH19" s="681"/>
      <c r="CI19" s="681"/>
      <c r="CJ19" s="681"/>
      <c r="CK19" s="681"/>
      <c r="CL19" s="681"/>
      <c r="CM19" s="681"/>
      <c r="CN19" s="681"/>
      <c r="CO19" s="681"/>
      <c r="CP19" s="681"/>
      <c r="CQ19" s="681"/>
      <c r="CR19" s="681"/>
      <c r="CS19" s="719">
        <f t="shared" si="21"/>
        <v>0</v>
      </c>
      <c r="CT19" s="681"/>
      <c r="CU19" s="681"/>
      <c r="CV19" s="681"/>
      <c r="CW19" s="681"/>
      <c r="CX19" s="681"/>
      <c r="CY19" s="681"/>
      <c r="CZ19" s="681"/>
      <c r="DA19" s="681"/>
      <c r="DB19" s="681"/>
      <c r="DC19" s="681"/>
      <c r="DD19" s="681"/>
      <c r="DE19" s="681"/>
      <c r="DF19" s="681">
        <f t="shared" si="5"/>
        <v>0</v>
      </c>
      <c r="DG19" s="120"/>
      <c r="DH19" s="120"/>
      <c r="DI19" s="120"/>
      <c r="DJ19" s="120"/>
      <c r="DK19" s="120"/>
      <c r="DL19" s="120"/>
      <c r="DM19" s="120"/>
      <c r="DN19" s="120"/>
      <c r="DO19" s="120"/>
      <c r="DP19" s="120"/>
      <c r="DQ19" s="120"/>
      <c r="DR19" s="120"/>
      <c r="DS19" s="1">
        <f t="shared" si="18"/>
        <v>0</v>
      </c>
    </row>
    <row r="20" spans="1:123" s="473" customFormat="1" x14ac:dyDescent="0.2">
      <c r="A20" s="418"/>
      <c r="B20" s="639"/>
      <c r="C20" s="419" t="s">
        <v>221</v>
      </c>
      <c r="D20" s="418"/>
      <c r="E20" s="418"/>
      <c r="F20" s="418"/>
      <c r="G20" s="418"/>
      <c r="H20" s="420"/>
      <c r="I20" s="420"/>
      <c r="J20" s="420"/>
      <c r="K20" s="421"/>
      <c r="L20" s="422"/>
      <c r="M20" s="427">
        <f t="shared" si="17"/>
        <v>0</v>
      </c>
      <c r="N20" s="427">
        <f t="shared" si="6"/>
        <v>0</v>
      </c>
      <c r="O20" s="427">
        <f t="shared" si="7"/>
        <v>0</v>
      </c>
      <c r="P20" s="427">
        <f t="shared" si="8"/>
        <v>0</v>
      </c>
      <c r="Q20" s="427">
        <f t="shared" si="9"/>
        <v>0</v>
      </c>
      <c r="R20" s="427">
        <f t="shared" si="10"/>
        <v>0</v>
      </c>
      <c r="S20" s="427">
        <f t="shared" si="11"/>
        <v>0</v>
      </c>
      <c r="T20" s="427">
        <f t="shared" si="12"/>
        <v>0</v>
      </c>
      <c r="U20" s="427">
        <f t="shared" si="13"/>
        <v>0</v>
      </c>
      <c r="V20" s="388"/>
      <c r="W20" s="427">
        <f t="shared" si="14"/>
        <v>0</v>
      </c>
      <c r="X20" s="427">
        <f t="shared" si="1"/>
        <v>0</v>
      </c>
      <c r="Y20" s="388"/>
      <c r="Z20" s="388"/>
      <c r="AA20" s="427">
        <f t="shared" si="15"/>
        <v>0</v>
      </c>
      <c r="AB20" s="427">
        <f t="shared" si="2"/>
        <v>0</v>
      </c>
      <c r="AC20" s="427">
        <f t="shared" si="3"/>
        <v>0</v>
      </c>
      <c r="AD20" s="427">
        <f t="shared" si="4"/>
        <v>0</v>
      </c>
      <c r="AE20" s="427">
        <f t="shared" si="16"/>
        <v>0</v>
      </c>
      <c r="AF20" s="427"/>
      <c r="AG20" s="427"/>
      <c r="AH20" s="427"/>
      <c r="AI20" s="427"/>
      <c r="AJ20" s="388"/>
      <c r="AK20" s="388"/>
      <c r="AL20" s="388"/>
      <c r="AM20" s="388"/>
      <c r="AN20" s="388"/>
      <c r="AO20" s="388"/>
      <c r="AP20" s="388"/>
      <c r="AQ20" s="388"/>
      <c r="AR20" s="388"/>
      <c r="AS20" s="388"/>
      <c r="AT20" s="388"/>
      <c r="AU20" s="388"/>
      <c r="AV20" s="388"/>
      <c r="AW20" s="388"/>
      <c r="AX20" s="388"/>
      <c r="AY20" s="388"/>
      <c r="AZ20" s="388"/>
      <c r="BA20" s="388"/>
      <c r="BB20" s="388"/>
      <c r="BC20" s="388"/>
      <c r="BD20" s="388"/>
      <c r="BE20" s="388"/>
      <c r="BF20" s="388"/>
      <c r="BG20" s="388"/>
      <c r="BH20" s="388"/>
      <c r="BI20" s="388"/>
      <c r="BJ20" s="388"/>
      <c r="BK20" s="388"/>
      <c r="BL20" s="388"/>
      <c r="BM20" s="388"/>
      <c r="BN20" s="388"/>
      <c r="BO20" s="388"/>
      <c r="BP20" s="388"/>
      <c r="BQ20" s="388"/>
      <c r="BR20" s="388"/>
      <c r="BS20" s="388"/>
      <c r="BT20" s="388"/>
      <c r="BU20" s="388"/>
      <c r="BV20" s="388"/>
      <c r="BW20" s="388"/>
      <c r="BX20" s="388"/>
      <c r="BY20" s="388"/>
      <c r="BZ20" s="388"/>
      <c r="CA20" s="388"/>
      <c r="CB20" s="388"/>
      <c r="CC20" s="388"/>
      <c r="CD20" s="388"/>
      <c r="CE20" s="388"/>
      <c r="CF20" s="388"/>
      <c r="CG20" s="399"/>
      <c r="CH20" s="400"/>
      <c r="CI20" s="400"/>
      <c r="CJ20" s="400"/>
      <c r="CK20" s="400"/>
      <c r="CL20" s="400"/>
      <c r="CM20" s="400"/>
      <c r="CN20" s="400"/>
      <c r="CO20" s="400"/>
      <c r="CP20" s="400"/>
      <c r="CQ20" s="400"/>
      <c r="CR20" s="400"/>
      <c r="CS20" s="400"/>
      <c r="CT20" s="400"/>
      <c r="CU20" s="400"/>
      <c r="CV20" s="400"/>
      <c r="CW20" s="400"/>
      <c r="CX20" s="400"/>
      <c r="CY20" s="400"/>
      <c r="CZ20" s="400"/>
      <c r="DA20" s="400"/>
      <c r="DB20" s="400"/>
      <c r="DC20" s="400"/>
      <c r="DD20" s="400"/>
      <c r="DE20" s="400"/>
      <c r="DF20" s="328">
        <f t="shared" si="5"/>
        <v>0</v>
      </c>
      <c r="DG20" s="650"/>
      <c r="DH20" s="35"/>
      <c r="DI20" s="35"/>
      <c r="DJ20" s="35"/>
      <c r="DK20" s="35"/>
      <c r="DL20" s="35"/>
      <c r="DM20" s="35"/>
      <c r="DN20" s="35"/>
      <c r="DO20" s="35"/>
      <c r="DP20" s="35"/>
      <c r="DQ20" s="35"/>
      <c r="DR20" s="35"/>
      <c r="DS20" s="1">
        <f t="shared" si="18"/>
        <v>0</v>
      </c>
    </row>
    <row r="21" spans="1:123" s="624" customFormat="1" ht="24" x14ac:dyDescent="0.2">
      <c r="A21" s="664" t="s">
        <v>277</v>
      </c>
      <c r="B21" s="751" t="s">
        <v>107</v>
      </c>
      <c r="C21" s="712" t="s">
        <v>278</v>
      </c>
      <c r="D21" s="664" t="s">
        <v>1412</v>
      </c>
      <c r="E21" s="664" t="s">
        <v>260</v>
      </c>
      <c r="F21" s="664" t="s">
        <v>49</v>
      </c>
      <c r="G21" s="664" t="s">
        <v>50</v>
      </c>
      <c r="H21" s="637" t="s">
        <v>61</v>
      </c>
      <c r="I21" s="706">
        <v>43650</v>
      </c>
      <c r="J21" s="706">
        <v>44746</v>
      </c>
      <c r="K21" s="716" t="s">
        <v>261</v>
      </c>
      <c r="L21" s="667"/>
      <c r="M21" s="709">
        <f t="shared" si="17"/>
        <v>214970.32</v>
      </c>
      <c r="N21" s="709">
        <f t="shared" si="6"/>
        <v>214970.32</v>
      </c>
      <c r="O21" s="709" t="e">
        <f t="shared" si="7"/>
        <v>#VALUE!</v>
      </c>
      <c r="P21" s="709">
        <f t="shared" si="8"/>
        <v>214970.32</v>
      </c>
      <c r="Q21" s="709">
        <f t="shared" si="9"/>
        <v>0</v>
      </c>
      <c r="R21" s="709">
        <f t="shared" si="10"/>
        <v>214970.32</v>
      </c>
      <c r="S21" s="709" t="e">
        <f t="shared" si="11"/>
        <v>#VALUE!</v>
      </c>
      <c r="T21" s="709">
        <f t="shared" si="12"/>
        <v>214970.32</v>
      </c>
      <c r="U21" s="709">
        <f t="shared" si="13"/>
        <v>0</v>
      </c>
      <c r="V21" s="710">
        <f>T21+U21</f>
        <v>214970.32</v>
      </c>
      <c r="W21" s="709" t="e">
        <f>K21-V21</f>
        <v>#VALUE!</v>
      </c>
      <c r="X21" s="709">
        <f t="shared" si="1"/>
        <v>214970.32</v>
      </c>
      <c r="Y21" s="710">
        <f>CS21</f>
        <v>345068.18</v>
      </c>
      <c r="Z21" s="710">
        <f>X21+Y21</f>
        <v>560038.5</v>
      </c>
      <c r="AA21" s="709" t="e">
        <f>K21-Z21</f>
        <v>#VALUE!</v>
      </c>
      <c r="AB21" s="709">
        <f t="shared" si="2"/>
        <v>560038.5</v>
      </c>
      <c r="AC21" s="709">
        <f t="shared" si="3"/>
        <v>0</v>
      </c>
      <c r="AD21" s="709">
        <f>AB21+AC21</f>
        <v>560038.5</v>
      </c>
      <c r="AE21" s="709" t="e">
        <f t="shared" si="16"/>
        <v>#VALUE!</v>
      </c>
      <c r="AF21" s="709"/>
      <c r="AG21" s="709"/>
      <c r="AH21" s="709"/>
      <c r="AI21" s="709"/>
      <c r="AJ21" s="711">
        <v>0</v>
      </c>
      <c r="AK21" s="637">
        <v>36</v>
      </c>
      <c r="AL21" s="637" t="s">
        <v>1304</v>
      </c>
      <c r="AM21" s="712">
        <v>0</v>
      </c>
      <c r="AN21" s="712">
        <v>0</v>
      </c>
      <c r="AO21" s="712" t="s">
        <v>53</v>
      </c>
      <c r="AP21" s="712" t="s">
        <v>53</v>
      </c>
      <c r="AQ21" s="712" t="s">
        <v>53</v>
      </c>
      <c r="AR21" s="712" t="s">
        <v>54</v>
      </c>
      <c r="AS21" s="663" t="s">
        <v>70</v>
      </c>
      <c r="AT21" s="664"/>
      <c r="AU21" s="664"/>
      <c r="AV21" s="664"/>
      <c r="AW21" s="664"/>
      <c r="AX21" s="664"/>
      <c r="AY21" s="664"/>
      <c r="AZ21" s="664"/>
      <c r="BA21" s="401"/>
      <c r="BB21" s="401"/>
      <c r="BC21" s="401"/>
      <c r="BD21" s="401"/>
      <c r="BE21" s="401">
        <v>214970.32</v>
      </c>
      <c r="BF21" s="669">
        <f>SUM(AT21:BE21)</f>
        <v>214970.32</v>
      </c>
      <c r="BG21" s="664"/>
      <c r="BH21" s="664"/>
      <c r="BI21" s="664"/>
      <c r="BJ21" s="664"/>
      <c r="BK21" s="664"/>
      <c r="BL21" s="664"/>
      <c r="BM21" s="664"/>
      <c r="BN21" s="664"/>
      <c r="BO21" s="664"/>
      <c r="BP21" s="664"/>
      <c r="BQ21" s="664"/>
      <c r="BR21" s="664"/>
      <c r="BS21" s="669">
        <f>SUM(BG21:BR21)</f>
        <v>0</v>
      </c>
      <c r="BT21" s="401"/>
      <c r="BU21" s="401"/>
      <c r="BV21" s="401"/>
      <c r="BW21" s="401"/>
      <c r="BX21" s="401"/>
      <c r="BY21" s="401"/>
      <c r="BZ21" s="401"/>
      <c r="CA21" s="401"/>
      <c r="CB21" s="401"/>
      <c r="CC21" s="401"/>
      <c r="CD21" s="401"/>
      <c r="CE21" s="401"/>
      <c r="CF21" s="669">
        <f>SUM(BT21:CE21)</f>
        <v>0</v>
      </c>
      <c r="CG21" s="401"/>
      <c r="CH21" s="401">
        <f>345068.18</f>
        <v>345068.18</v>
      </c>
      <c r="CI21" s="401"/>
      <c r="CJ21" s="401"/>
      <c r="CK21" s="401"/>
      <c r="CL21" s="401"/>
      <c r="CM21" s="401"/>
      <c r="CN21" s="401"/>
      <c r="CO21" s="401"/>
      <c r="CP21" s="401"/>
      <c r="CQ21" s="401"/>
      <c r="CR21" s="401"/>
      <c r="CS21" s="401">
        <f t="shared" ref="CS21" si="24">SUM(CG21:CR21)</f>
        <v>345068.18</v>
      </c>
      <c r="CT21" s="401"/>
      <c r="CU21" s="401"/>
      <c r="CV21" s="401"/>
      <c r="CW21" s="401"/>
      <c r="CX21" s="401"/>
      <c r="CY21" s="401"/>
      <c r="CZ21" s="401"/>
      <c r="DA21" s="401"/>
      <c r="DB21" s="401"/>
      <c r="DC21" s="401"/>
      <c r="DD21" s="401"/>
      <c r="DE21" s="401"/>
      <c r="DF21" s="401">
        <f t="shared" si="5"/>
        <v>0</v>
      </c>
      <c r="DG21" s="664"/>
      <c r="DH21" s="469"/>
      <c r="DI21" s="469"/>
      <c r="DJ21" s="469"/>
      <c r="DK21" s="469"/>
      <c r="DL21" s="469"/>
      <c r="DM21" s="469"/>
      <c r="DN21" s="469"/>
      <c r="DO21" s="469"/>
      <c r="DP21" s="469"/>
      <c r="DQ21" s="469"/>
      <c r="DR21" s="469"/>
      <c r="DS21" s="469">
        <f t="shared" si="18"/>
        <v>0</v>
      </c>
    </row>
    <row r="22" spans="1:123" s="13" customFormat="1" x14ac:dyDescent="0.2">
      <c r="A22" s="423"/>
      <c r="B22" s="640"/>
      <c r="C22" s="419" t="s">
        <v>279</v>
      </c>
      <c r="D22" s="423"/>
      <c r="E22" s="423"/>
      <c r="F22" s="423"/>
      <c r="G22" s="423"/>
      <c r="H22" s="419"/>
      <c r="I22" s="419"/>
      <c r="J22" s="419"/>
      <c r="K22" s="424"/>
      <c r="L22" s="384"/>
      <c r="M22" s="427">
        <f t="shared" si="17"/>
        <v>0</v>
      </c>
      <c r="N22" s="427">
        <f t="shared" si="6"/>
        <v>0</v>
      </c>
      <c r="O22" s="427">
        <f t="shared" si="7"/>
        <v>0</v>
      </c>
      <c r="P22" s="427">
        <f t="shared" si="8"/>
        <v>0</v>
      </c>
      <c r="Q22" s="427">
        <f t="shared" si="9"/>
        <v>0</v>
      </c>
      <c r="R22" s="427">
        <f t="shared" si="10"/>
        <v>0</v>
      </c>
      <c r="S22" s="427">
        <f t="shared" si="11"/>
        <v>0</v>
      </c>
      <c r="T22" s="427">
        <f t="shared" si="12"/>
        <v>0</v>
      </c>
      <c r="U22" s="427">
        <f t="shared" si="13"/>
        <v>0</v>
      </c>
      <c r="V22" s="388"/>
      <c r="W22" s="427">
        <f t="shared" si="14"/>
        <v>0</v>
      </c>
      <c r="X22" s="427">
        <f t="shared" si="1"/>
        <v>0</v>
      </c>
      <c r="Y22" s="388"/>
      <c r="Z22" s="388"/>
      <c r="AA22" s="427">
        <f t="shared" si="15"/>
        <v>0</v>
      </c>
      <c r="AB22" s="427">
        <f t="shared" si="2"/>
        <v>0</v>
      </c>
      <c r="AC22" s="427">
        <f t="shared" si="3"/>
        <v>0</v>
      </c>
      <c r="AD22" s="427">
        <f t="shared" si="4"/>
        <v>0</v>
      </c>
      <c r="AE22" s="427">
        <f t="shared" si="16"/>
        <v>0</v>
      </c>
      <c r="AF22" s="427"/>
      <c r="AG22" s="427"/>
      <c r="AH22" s="427"/>
      <c r="AI22" s="427"/>
      <c r="AJ22" s="405"/>
      <c r="AK22" s="334"/>
      <c r="AL22" s="334"/>
      <c r="AM22" s="389"/>
      <c r="AN22" s="389"/>
      <c r="AO22" s="389"/>
      <c r="AP22" s="389"/>
      <c r="AQ22" s="389"/>
      <c r="AR22" s="389"/>
      <c r="AS22" s="335"/>
      <c r="AT22" s="384"/>
      <c r="AU22" s="384"/>
      <c r="AV22" s="384"/>
      <c r="AW22" s="384"/>
      <c r="AX22" s="384"/>
      <c r="AY22" s="384"/>
      <c r="AZ22" s="384"/>
      <c r="BA22" s="384"/>
      <c r="BB22" s="384"/>
      <c r="BC22" s="384"/>
      <c r="BD22" s="384"/>
      <c r="BE22" s="384"/>
      <c r="BF22" s="390"/>
      <c r="BG22" s="384"/>
      <c r="BH22" s="384"/>
      <c r="BI22" s="384"/>
      <c r="BJ22" s="384"/>
      <c r="BK22" s="384"/>
      <c r="BL22" s="384"/>
      <c r="BM22" s="384"/>
      <c r="BN22" s="384"/>
      <c r="BO22" s="384"/>
      <c r="BP22" s="384"/>
      <c r="BQ22" s="384"/>
      <c r="BR22" s="384"/>
      <c r="BS22" s="390"/>
      <c r="BT22" s="327"/>
      <c r="BU22" s="327"/>
      <c r="BV22" s="327"/>
      <c r="BW22" s="327"/>
      <c r="BX22" s="327"/>
      <c r="BY22" s="327"/>
      <c r="BZ22" s="327"/>
      <c r="CA22" s="327"/>
      <c r="CB22" s="327"/>
      <c r="CC22" s="327"/>
      <c r="CD22" s="327"/>
      <c r="CE22" s="327"/>
      <c r="CF22" s="392"/>
      <c r="CG22" s="327"/>
      <c r="CH22" s="327"/>
      <c r="CI22" s="327"/>
      <c r="CJ22" s="327"/>
      <c r="CK22" s="327"/>
      <c r="CL22" s="327"/>
      <c r="CM22" s="327"/>
      <c r="CN22" s="327"/>
      <c r="CO22" s="327"/>
      <c r="CP22" s="327"/>
      <c r="CQ22" s="327"/>
      <c r="CR22" s="327"/>
      <c r="CS22" s="327"/>
      <c r="CT22" s="327"/>
      <c r="CU22" s="327"/>
      <c r="CV22" s="327"/>
      <c r="CW22" s="327"/>
      <c r="CX22" s="327"/>
      <c r="CY22" s="327"/>
      <c r="CZ22" s="327"/>
      <c r="DA22" s="327"/>
      <c r="DB22" s="327"/>
      <c r="DC22" s="327"/>
      <c r="DD22" s="327"/>
      <c r="DE22" s="327"/>
      <c r="DF22" s="328">
        <f t="shared" si="5"/>
        <v>0</v>
      </c>
      <c r="DG22" s="404"/>
      <c r="DH22" s="2"/>
      <c r="DI22" s="2"/>
      <c r="DJ22" s="2"/>
      <c r="DK22" s="2"/>
      <c r="DL22" s="2"/>
      <c r="DM22" s="2"/>
      <c r="DN22" s="2"/>
      <c r="DO22" s="2"/>
      <c r="DP22" s="2"/>
      <c r="DQ22" s="2"/>
      <c r="DR22" s="2"/>
      <c r="DS22" s="1">
        <f t="shared" si="18"/>
        <v>0</v>
      </c>
    </row>
    <row r="23" spans="1:123" s="729" customFormat="1" ht="24" x14ac:dyDescent="0.2">
      <c r="A23" s="777" t="s">
        <v>285</v>
      </c>
      <c r="B23" s="779" t="s">
        <v>57</v>
      </c>
      <c r="C23" s="777" t="s">
        <v>286</v>
      </c>
      <c r="D23" s="717" t="s">
        <v>2042</v>
      </c>
      <c r="E23" s="732" t="s">
        <v>287</v>
      </c>
      <c r="F23" s="686" t="s">
        <v>49</v>
      </c>
      <c r="G23" s="777" t="s">
        <v>284</v>
      </c>
      <c r="H23" s="777" t="s">
        <v>61</v>
      </c>
      <c r="I23" s="727">
        <v>44461</v>
      </c>
      <c r="J23" s="727">
        <v>44826</v>
      </c>
      <c r="K23" s="247">
        <v>6009715.7300000004</v>
      </c>
      <c r="L23" s="728"/>
      <c r="M23" s="263">
        <f t="shared" si="17"/>
        <v>0</v>
      </c>
      <c r="N23" s="263">
        <f t="shared" si="6"/>
        <v>0</v>
      </c>
      <c r="O23" s="263">
        <f t="shared" si="7"/>
        <v>6009715.7300000004</v>
      </c>
      <c r="P23" s="263">
        <f t="shared" si="8"/>
        <v>0</v>
      </c>
      <c r="Q23" s="263">
        <f t="shared" si="9"/>
        <v>0</v>
      </c>
      <c r="R23" s="263">
        <f t="shared" si="10"/>
        <v>0</v>
      </c>
      <c r="S23" s="263">
        <f t="shared" si="11"/>
        <v>6009715.7300000004</v>
      </c>
      <c r="T23" s="263">
        <f t="shared" si="12"/>
        <v>0</v>
      </c>
      <c r="U23" s="263">
        <f t="shared" si="13"/>
        <v>3226812.7215</v>
      </c>
      <c r="V23" s="249">
        <f t="shared" ref="V23:V26" si="25">T23+U23</f>
        <v>3226812.7215</v>
      </c>
      <c r="W23" s="263">
        <f t="shared" si="14"/>
        <v>2782903.0085000005</v>
      </c>
      <c r="X23" s="263">
        <f t="shared" si="1"/>
        <v>3226812.7215</v>
      </c>
      <c r="Y23" s="249">
        <f t="shared" ref="Y23:Y26" si="26">CS23</f>
        <v>2662691.6799999997</v>
      </c>
      <c r="Z23" s="249">
        <f t="shared" ref="Z23:Z26" si="27">X23+Y23</f>
        <v>5889504.4014999997</v>
      </c>
      <c r="AA23" s="263">
        <f t="shared" si="15"/>
        <v>120211.32850000076</v>
      </c>
      <c r="AB23" s="263">
        <f t="shared" si="2"/>
        <v>5889504.4014999997</v>
      </c>
      <c r="AC23" s="263">
        <f t="shared" si="3"/>
        <v>358697.16</v>
      </c>
      <c r="AD23" s="263">
        <f t="shared" si="4"/>
        <v>6248201.5614999998</v>
      </c>
      <c r="AE23" s="263">
        <f t="shared" si="16"/>
        <v>-238485.83149999939</v>
      </c>
      <c r="AF23" s="263"/>
      <c r="AG23" s="263"/>
      <c r="AH23" s="263"/>
      <c r="AI23" s="263"/>
      <c r="AJ23" s="692">
        <v>0</v>
      </c>
      <c r="AK23" s="722">
        <v>12</v>
      </c>
      <c r="AL23" s="722" t="s">
        <v>1304</v>
      </c>
      <c r="AM23" s="685">
        <v>0</v>
      </c>
      <c r="AN23" s="685">
        <v>0</v>
      </c>
      <c r="AO23" s="685" t="s">
        <v>53</v>
      </c>
      <c r="AP23" s="685" t="s">
        <v>53</v>
      </c>
      <c r="AQ23" s="685" t="s">
        <v>53</v>
      </c>
      <c r="AR23" s="685" t="s">
        <v>54</v>
      </c>
      <c r="AS23" s="794" t="s">
        <v>70</v>
      </c>
      <c r="AT23" s="728"/>
      <c r="AU23" s="728"/>
      <c r="AV23" s="728"/>
      <c r="AW23" s="728"/>
      <c r="AX23" s="728"/>
      <c r="AY23" s="728"/>
      <c r="AZ23" s="728"/>
      <c r="BA23" s="728"/>
      <c r="BB23" s="728"/>
      <c r="BC23" s="728"/>
      <c r="BD23" s="728"/>
      <c r="BE23" s="728"/>
      <c r="BF23" s="695">
        <f t="shared" ref="BF23:BF26" si="28">SUM(AT23:BE23)</f>
        <v>0</v>
      </c>
      <c r="BG23" s="728"/>
      <c r="BH23" s="728"/>
      <c r="BI23" s="728"/>
      <c r="BJ23" s="728"/>
      <c r="BK23" s="728"/>
      <c r="BL23" s="728"/>
      <c r="BM23" s="728"/>
      <c r="BN23" s="728"/>
      <c r="BO23" s="728"/>
      <c r="BP23" s="728"/>
      <c r="BQ23" s="728"/>
      <c r="BR23" s="728"/>
      <c r="BS23" s="695">
        <f t="shared" ref="BS23:BS26" si="29">SUM(BG23:BR23)</f>
        <v>0</v>
      </c>
      <c r="BT23" s="724"/>
      <c r="BU23" s="724"/>
      <c r="BV23" s="724"/>
      <c r="BW23" s="724"/>
      <c r="BX23" s="681">
        <f>386520.75+727413.53</f>
        <v>1113934.28</v>
      </c>
      <c r="BY23" s="681">
        <f>675057.12+319815</f>
        <v>994872.12</v>
      </c>
      <c r="BZ23" s="724">
        <v>312960.32149999996</v>
      </c>
      <c r="CA23" s="724"/>
      <c r="CB23" s="724"/>
      <c r="CC23" s="724"/>
      <c r="CD23" s="724"/>
      <c r="CE23" s="724">
        <v>805045.99999999988</v>
      </c>
      <c r="CF23" s="723">
        <f t="shared" ref="CF23:CF26" si="30">SUM(BT23:CE23)</f>
        <v>3226812.7215</v>
      </c>
      <c r="CG23" s="724"/>
      <c r="CH23" s="724">
        <v>870638.54</v>
      </c>
      <c r="CI23" s="724">
        <v>560933.78</v>
      </c>
      <c r="CJ23" s="724">
        <v>255645</v>
      </c>
      <c r="CK23" s="724"/>
      <c r="CL23" s="724">
        <f>426689.1</f>
        <v>426689.1</v>
      </c>
      <c r="CM23" s="733"/>
      <c r="CN23" s="733"/>
      <c r="CO23" s="724"/>
      <c r="CP23" s="724"/>
      <c r="CQ23" s="724"/>
      <c r="CR23" s="724">
        <f>190088.1+358697.16</f>
        <v>548785.26</v>
      </c>
      <c r="CS23" s="719">
        <f t="shared" ref="CS23:CS36" si="31">SUM(CG23:CR23)</f>
        <v>2662691.6799999997</v>
      </c>
      <c r="CT23" s="724">
        <v>358697.16</v>
      </c>
      <c r="CU23" s="724"/>
      <c r="CV23" s="724"/>
      <c r="CW23" s="724"/>
      <c r="CX23" s="724"/>
      <c r="CY23" s="724"/>
      <c r="CZ23" s="724"/>
      <c r="DA23" s="724"/>
      <c r="DB23" s="724"/>
      <c r="DC23" s="724"/>
      <c r="DD23" s="724"/>
      <c r="DE23" s="724"/>
      <c r="DF23" s="681">
        <f t="shared" si="5"/>
        <v>358697.16</v>
      </c>
      <c r="DG23" s="704"/>
      <c r="DH23" s="704">
        <v>309973.92</v>
      </c>
      <c r="DI23" s="704"/>
      <c r="DJ23" s="704"/>
      <c r="DK23" s="704"/>
      <c r="DL23" s="704"/>
      <c r="DM23" s="704"/>
      <c r="DN23" s="704"/>
      <c r="DO23" s="704"/>
      <c r="DP23" s="704"/>
      <c r="DQ23" s="704"/>
      <c r="DR23" s="704"/>
      <c r="DS23" s="1">
        <f t="shared" si="18"/>
        <v>309973.92</v>
      </c>
    </row>
    <row r="24" spans="1:123" s="729" customFormat="1" x14ac:dyDescent="0.2">
      <c r="A24" s="777"/>
      <c r="B24" s="779"/>
      <c r="C24" s="777"/>
      <c r="D24" s="717" t="s">
        <v>288</v>
      </c>
      <c r="E24" s="686" t="s">
        <v>88</v>
      </c>
      <c r="F24" s="686" t="s">
        <v>49</v>
      </c>
      <c r="G24" s="777"/>
      <c r="H24" s="777"/>
      <c r="I24" s="727">
        <v>43650</v>
      </c>
      <c r="J24" s="731">
        <v>44746</v>
      </c>
      <c r="K24" s="721">
        <f>K23*12/100</f>
        <v>721165.88760000002</v>
      </c>
      <c r="L24" s="728"/>
      <c r="M24" s="263">
        <f t="shared" si="17"/>
        <v>0</v>
      </c>
      <c r="N24" s="263">
        <f t="shared" si="6"/>
        <v>0</v>
      </c>
      <c r="O24" s="263">
        <f t="shared" si="7"/>
        <v>721165.88760000002</v>
      </c>
      <c r="P24" s="263">
        <f t="shared" si="8"/>
        <v>0</v>
      </c>
      <c r="Q24" s="263">
        <f t="shared" si="9"/>
        <v>0</v>
      </c>
      <c r="R24" s="263">
        <f t="shared" si="10"/>
        <v>0</v>
      </c>
      <c r="S24" s="263">
        <f t="shared" si="11"/>
        <v>721165.88760000002</v>
      </c>
      <c r="T24" s="263">
        <f t="shared" si="12"/>
        <v>0</v>
      </c>
      <c r="U24" s="263">
        <f t="shared" si="13"/>
        <v>594834.18000000005</v>
      </c>
      <c r="V24" s="249">
        <f t="shared" si="25"/>
        <v>594834.18000000005</v>
      </c>
      <c r="W24" s="263">
        <f t="shared" si="14"/>
        <v>126331.70759999997</v>
      </c>
      <c r="X24" s="263">
        <f t="shared" si="1"/>
        <v>594834.18000000005</v>
      </c>
      <c r="Y24" s="249">
        <f t="shared" si="26"/>
        <v>126204.03</v>
      </c>
      <c r="Z24" s="249">
        <f t="shared" si="27"/>
        <v>721038.21000000008</v>
      </c>
      <c r="AA24" s="263">
        <f t="shared" si="15"/>
        <v>127.67759999993723</v>
      </c>
      <c r="AB24" s="263">
        <f t="shared" si="2"/>
        <v>721038.21000000008</v>
      </c>
      <c r="AC24" s="263">
        <f t="shared" si="3"/>
        <v>0</v>
      </c>
      <c r="AD24" s="263">
        <f t="shared" si="4"/>
        <v>721038.21000000008</v>
      </c>
      <c r="AE24" s="263">
        <f t="shared" si="16"/>
        <v>127.67759999993723</v>
      </c>
      <c r="AF24" s="263"/>
      <c r="AG24" s="263"/>
      <c r="AH24" s="263"/>
      <c r="AI24" s="263"/>
      <c r="AJ24" s="692">
        <v>0</v>
      </c>
      <c r="AK24" s="722">
        <v>36</v>
      </c>
      <c r="AL24" s="722" t="s">
        <v>1304</v>
      </c>
      <c r="AM24" s="685">
        <v>0</v>
      </c>
      <c r="AN24" s="685">
        <v>0</v>
      </c>
      <c r="AO24" s="685" t="s">
        <v>53</v>
      </c>
      <c r="AP24" s="685" t="s">
        <v>53</v>
      </c>
      <c r="AQ24" s="685" t="s">
        <v>53</v>
      </c>
      <c r="AR24" s="685" t="s">
        <v>54</v>
      </c>
      <c r="AS24" s="794"/>
      <c r="AT24" s="728"/>
      <c r="AU24" s="728"/>
      <c r="AV24" s="728"/>
      <c r="AW24" s="728"/>
      <c r="AX24" s="728"/>
      <c r="AY24" s="728"/>
      <c r="AZ24" s="728"/>
      <c r="BA24" s="728"/>
      <c r="BB24" s="728"/>
      <c r="BC24" s="728"/>
      <c r="BD24" s="728"/>
      <c r="BE24" s="728"/>
      <c r="BF24" s="695">
        <f t="shared" si="28"/>
        <v>0</v>
      </c>
      <c r="BG24" s="728"/>
      <c r="BH24" s="728"/>
      <c r="BI24" s="728"/>
      <c r="BJ24" s="728"/>
      <c r="BK24" s="728"/>
      <c r="BL24" s="728"/>
      <c r="BM24" s="728"/>
      <c r="BN24" s="728"/>
      <c r="BO24" s="728"/>
      <c r="BP24" s="728"/>
      <c r="BQ24" s="728"/>
      <c r="BR24" s="728"/>
      <c r="BS24" s="695">
        <f t="shared" si="29"/>
        <v>0</v>
      </c>
      <c r="BT24" s="724"/>
      <c r="BU24" s="681">
        <f>475120.64+119713.54</f>
        <v>594834.18000000005</v>
      </c>
      <c r="BV24" s="724"/>
      <c r="BW24" s="724"/>
      <c r="BX24" s="724"/>
      <c r="BY24" s="724"/>
      <c r="BZ24" s="724"/>
      <c r="CA24" s="724"/>
      <c r="CB24" s="724"/>
      <c r="CC24" s="724"/>
      <c r="CD24" s="724"/>
      <c r="CE24" s="724"/>
      <c r="CF24" s="723">
        <f t="shared" si="30"/>
        <v>594834.18000000005</v>
      </c>
      <c r="CG24" s="724"/>
      <c r="CH24" s="724">
        <v>54087.44</v>
      </c>
      <c r="CI24" s="724"/>
      <c r="CJ24" s="724"/>
      <c r="CK24" s="724">
        <v>72116.59</v>
      </c>
      <c r="CL24" s="724"/>
      <c r="CM24" s="724"/>
      <c r="CN24" s="724"/>
      <c r="CO24" s="724"/>
      <c r="CP24" s="724"/>
      <c r="CQ24" s="724"/>
      <c r="CR24" s="724"/>
      <c r="CS24" s="719">
        <f t="shared" si="31"/>
        <v>126204.03</v>
      </c>
      <c r="CT24" s="724"/>
      <c r="CU24" s="724"/>
      <c r="CV24" s="724"/>
      <c r="CW24" s="724"/>
      <c r="CX24" s="724"/>
      <c r="CY24" s="724"/>
      <c r="CZ24" s="724"/>
      <c r="DA24" s="724"/>
      <c r="DB24" s="724"/>
      <c r="DC24" s="724"/>
      <c r="DD24" s="724"/>
      <c r="DE24" s="724"/>
      <c r="DF24" s="681">
        <f t="shared" si="5"/>
        <v>0</v>
      </c>
      <c r="DG24" s="704"/>
      <c r="DH24" s="704"/>
      <c r="DI24" s="704"/>
      <c r="DJ24" s="704"/>
      <c r="DK24" s="704"/>
      <c r="DL24" s="704"/>
      <c r="DM24" s="704"/>
      <c r="DN24" s="704"/>
      <c r="DO24" s="704"/>
      <c r="DP24" s="704"/>
      <c r="DQ24" s="704"/>
      <c r="DR24" s="704"/>
      <c r="DS24" s="1">
        <f t="shared" si="18"/>
        <v>0</v>
      </c>
    </row>
    <row r="25" spans="1:123" s="729" customFormat="1" x14ac:dyDescent="0.2">
      <c r="A25" s="777" t="s">
        <v>291</v>
      </c>
      <c r="B25" s="779" t="s">
        <v>57</v>
      </c>
      <c r="C25" s="777" t="s">
        <v>1328</v>
      </c>
      <c r="D25" s="717" t="s">
        <v>2041</v>
      </c>
      <c r="E25" s="717" t="s">
        <v>292</v>
      </c>
      <c r="F25" s="686" t="s">
        <v>49</v>
      </c>
      <c r="G25" s="777" t="s">
        <v>284</v>
      </c>
      <c r="H25" s="777" t="s">
        <v>61</v>
      </c>
      <c r="I25" s="727">
        <v>44461</v>
      </c>
      <c r="J25" s="727">
        <v>44826</v>
      </c>
      <c r="K25" s="247">
        <v>5507892.2300000004</v>
      </c>
      <c r="L25" s="728"/>
      <c r="M25" s="263">
        <f t="shared" si="17"/>
        <v>0</v>
      </c>
      <c r="N25" s="263">
        <f t="shared" si="6"/>
        <v>0</v>
      </c>
      <c r="O25" s="263">
        <f t="shared" si="7"/>
        <v>5507892.2300000004</v>
      </c>
      <c r="P25" s="263">
        <f t="shared" si="8"/>
        <v>0</v>
      </c>
      <c r="Q25" s="263">
        <f t="shared" si="9"/>
        <v>0</v>
      </c>
      <c r="R25" s="263">
        <f t="shared" si="10"/>
        <v>0</v>
      </c>
      <c r="S25" s="263">
        <f t="shared" si="11"/>
        <v>5507892.2300000004</v>
      </c>
      <c r="T25" s="263">
        <f t="shared" si="12"/>
        <v>0</v>
      </c>
      <c r="U25" s="263">
        <f t="shared" si="13"/>
        <v>2000744.378</v>
      </c>
      <c r="V25" s="249">
        <f t="shared" si="25"/>
        <v>2000744.378</v>
      </c>
      <c r="W25" s="263">
        <f t="shared" si="14"/>
        <v>3507147.8520000004</v>
      </c>
      <c r="X25" s="263">
        <f t="shared" si="1"/>
        <v>2000744.378</v>
      </c>
      <c r="Y25" s="249">
        <f t="shared" si="26"/>
        <v>1066553.8190000001</v>
      </c>
      <c r="Z25" s="249">
        <f t="shared" si="27"/>
        <v>3067298.1970000002</v>
      </c>
      <c r="AA25" s="263">
        <f t="shared" si="15"/>
        <v>2440594.0330000003</v>
      </c>
      <c r="AB25" s="263">
        <f t="shared" si="2"/>
        <v>3067298.1970000002</v>
      </c>
      <c r="AC25" s="263">
        <f t="shared" si="3"/>
        <v>1541141.358</v>
      </c>
      <c r="AD25" s="263">
        <f t="shared" si="4"/>
        <v>4608439.5549999997</v>
      </c>
      <c r="AE25" s="263">
        <f t="shared" si="16"/>
        <v>899452.67500000075</v>
      </c>
      <c r="AF25" s="263"/>
      <c r="AG25" s="263"/>
      <c r="AH25" s="263"/>
      <c r="AI25" s="263"/>
      <c r="AJ25" s="692">
        <v>0</v>
      </c>
      <c r="AK25" s="722">
        <v>12</v>
      </c>
      <c r="AL25" s="722" t="s">
        <v>1304</v>
      </c>
      <c r="AM25" s="685">
        <v>0</v>
      </c>
      <c r="AN25" s="685">
        <v>0</v>
      </c>
      <c r="AO25" s="685" t="s">
        <v>53</v>
      </c>
      <c r="AP25" s="685" t="s">
        <v>53</v>
      </c>
      <c r="AQ25" s="685" t="s">
        <v>53</v>
      </c>
      <c r="AR25" s="685" t="s">
        <v>54</v>
      </c>
      <c r="AS25" s="794" t="s">
        <v>70</v>
      </c>
      <c r="AT25" s="728"/>
      <c r="AU25" s="728"/>
      <c r="AV25" s="728"/>
      <c r="AW25" s="728"/>
      <c r="AX25" s="728"/>
      <c r="AY25" s="728"/>
      <c r="AZ25" s="728"/>
      <c r="BA25" s="728"/>
      <c r="BB25" s="728"/>
      <c r="BC25" s="728"/>
      <c r="BD25" s="728"/>
      <c r="BE25" s="728"/>
      <c r="BF25" s="695">
        <f t="shared" si="28"/>
        <v>0</v>
      </c>
      <c r="BG25" s="728"/>
      <c r="BH25" s="728"/>
      <c r="BI25" s="728"/>
      <c r="BJ25" s="728"/>
      <c r="BK25" s="728"/>
      <c r="BL25" s="728"/>
      <c r="BM25" s="728"/>
      <c r="BN25" s="728"/>
      <c r="BO25" s="728"/>
      <c r="BP25" s="728"/>
      <c r="BQ25" s="728"/>
      <c r="BR25" s="728"/>
      <c r="BS25" s="695">
        <f t="shared" si="29"/>
        <v>0</v>
      </c>
      <c r="BT25" s="724"/>
      <c r="BU25" s="724"/>
      <c r="BV25" s="724"/>
      <c r="BW25" s="724"/>
      <c r="BX25" s="724"/>
      <c r="BY25" s="724"/>
      <c r="BZ25" s="724"/>
      <c r="CA25" s="724"/>
      <c r="CB25" s="724"/>
      <c r="CC25" s="724"/>
      <c r="CD25" s="724">
        <v>660890.87799999991</v>
      </c>
      <c r="CE25" s="724">
        <v>1339853.5</v>
      </c>
      <c r="CF25" s="723">
        <f t="shared" si="30"/>
        <v>2000744.378</v>
      </c>
      <c r="CG25" s="724"/>
      <c r="CH25" s="724"/>
      <c r="CI25" s="724">
        <v>168663.59</v>
      </c>
      <c r="CJ25" s="724">
        <v>234308.83</v>
      </c>
      <c r="CK25" s="724">
        <v>432220.59</v>
      </c>
      <c r="CL25" s="724">
        <v>104825.32</v>
      </c>
      <c r="CM25" s="724"/>
      <c r="CN25" s="724"/>
      <c r="CO25" s="724"/>
      <c r="CP25" s="724"/>
      <c r="CQ25" s="724">
        <v>126535.48899999999</v>
      </c>
      <c r="CR25" s="724"/>
      <c r="CS25" s="719">
        <f t="shared" si="31"/>
        <v>1066553.8190000001</v>
      </c>
      <c r="CT25" s="724">
        <v>260879.32849999997</v>
      </c>
      <c r="CU25" s="724"/>
      <c r="CV25" s="724"/>
      <c r="CW25" s="724">
        <v>107326.91249999999</v>
      </c>
      <c r="CX25" s="724"/>
      <c r="CY25" s="724"/>
      <c r="CZ25" s="724">
        <v>85956.75</v>
      </c>
      <c r="DA25" s="724">
        <v>214120.8</v>
      </c>
      <c r="DB25" s="724"/>
      <c r="DC25" s="724"/>
      <c r="DD25" s="724">
        <v>872857.56699999992</v>
      </c>
      <c r="DE25" s="724"/>
      <c r="DF25" s="681">
        <f t="shared" si="5"/>
        <v>1541141.358</v>
      </c>
      <c r="DG25" s="704"/>
      <c r="DH25" s="704"/>
      <c r="DI25" s="704">
        <v>872857.57</v>
      </c>
      <c r="DJ25" s="704"/>
      <c r="DK25" s="704"/>
      <c r="DL25" s="704"/>
      <c r="DM25" s="704"/>
      <c r="DN25" s="704"/>
      <c r="DO25" s="704"/>
      <c r="DP25" s="704"/>
      <c r="DQ25" s="704">
        <v>137516.76</v>
      </c>
      <c r="DR25" s="704"/>
      <c r="DS25" s="1">
        <f t="shared" si="18"/>
        <v>1010374.33</v>
      </c>
    </row>
    <row r="26" spans="1:123" s="729" customFormat="1" x14ac:dyDescent="0.2">
      <c r="A26" s="777"/>
      <c r="B26" s="779"/>
      <c r="C26" s="777"/>
      <c r="D26" s="686" t="s">
        <v>72</v>
      </c>
      <c r="E26" s="686" t="s">
        <v>73</v>
      </c>
      <c r="F26" s="686" t="s">
        <v>49</v>
      </c>
      <c r="G26" s="777"/>
      <c r="H26" s="777"/>
      <c r="I26" s="730">
        <v>43650</v>
      </c>
      <c r="J26" s="731">
        <v>44746</v>
      </c>
      <c r="K26" s="721">
        <f>K25*14/100</f>
        <v>771104.91220000002</v>
      </c>
      <c r="L26" s="728"/>
      <c r="M26" s="263">
        <f t="shared" si="17"/>
        <v>0</v>
      </c>
      <c r="N26" s="263">
        <f t="shared" si="6"/>
        <v>0</v>
      </c>
      <c r="O26" s="263">
        <f t="shared" si="7"/>
        <v>771104.91220000002</v>
      </c>
      <c r="P26" s="263">
        <f t="shared" si="8"/>
        <v>0</v>
      </c>
      <c r="Q26" s="263">
        <f t="shared" si="9"/>
        <v>0</v>
      </c>
      <c r="R26" s="263">
        <f t="shared" si="10"/>
        <v>0</v>
      </c>
      <c r="S26" s="263">
        <f t="shared" si="11"/>
        <v>771104.91220000002</v>
      </c>
      <c r="T26" s="263">
        <f t="shared" si="12"/>
        <v>0</v>
      </c>
      <c r="U26" s="263">
        <f t="shared" si="13"/>
        <v>580792.14749999996</v>
      </c>
      <c r="V26" s="249">
        <f t="shared" si="25"/>
        <v>580792.14749999996</v>
      </c>
      <c r="W26" s="263">
        <f t="shared" si="14"/>
        <v>190312.76470000006</v>
      </c>
      <c r="X26" s="263">
        <f t="shared" si="1"/>
        <v>580792.14749999996</v>
      </c>
      <c r="Y26" s="249">
        <f t="shared" si="26"/>
        <v>0</v>
      </c>
      <c r="Z26" s="249">
        <f t="shared" si="27"/>
        <v>580792.14749999996</v>
      </c>
      <c r="AA26" s="263">
        <f t="shared" si="15"/>
        <v>190312.76470000006</v>
      </c>
      <c r="AB26" s="263">
        <f t="shared" si="2"/>
        <v>580792.14749999996</v>
      </c>
      <c r="AC26" s="263">
        <f t="shared" si="3"/>
        <v>0</v>
      </c>
      <c r="AD26" s="263">
        <f t="shared" si="4"/>
        <v>580792.14749999996</v>
      </c>
      <c r="AE26" s="263">
        <f t="shared" si="16"/>
        <v>190312.76470000006</v>
      </c>
      <c r="AF26" s="263"/>
      <c r="AG26" s="263"/>
      <c r="AH26" s="263"/>
      <c r="AI26" s="263"/>
      <c r="AJ26" s="692">
        <v>0</v>
      </c>
      <c r="AK26" s="722">
        <v>36</v>
      </c>
      <c r="AL26" s="722" t="s">
        <v>1304</v>
      </c>
      <c r="AM26" s="685">
        <v>0</v>
      </c>
      <c r="AN26" s="685">
        <v>0</v>
      </c>
      <c r="AO26" s="685" t="s">
        <v>53</v>
      </c>
      <c r="AP26" s="685" t="s">
        <v>53</v>
      </c>
      <c r="AQ26" s="685" t="s">
        <v>53</v>
      </c>
      <c r="AR26" s="685" t="s">
        <v>54</v>
      </c>
      <c r="AS26" s="794"/>
      <c r="AT26" s="728"/>
      <c r="AU26" s="728"/>
      <c r="AV26" s="728"/>
      <c r="AW26" s="728"/>
      <c r="AX26" s="728"/>
      <c r="AY26" s="728"/>
      <c r="AZ26" s="728"/>
      <c r="BA26" s="728"/>
      <c r="BB26" s="728"/>
      <c r="BC26" s="728"/>
      <c r="BD26" s="728"/>
      <c r="BE26" s="728"/>
      <c r="BF26" s="695">
        <f t="shared" si="28"/>
        <v>0</v>
      </c>
      <c r="BG26" s="728"/>
      <c r="BH26" s="728"/>
      <c r="BI26" s="728"/>
      <c r="BJ26" s="728"/>
      <c r="BK26" s="728"/>
      <c r="BL26" s="728"/>
      <c r="BM26" s="728"/>
      <c r="BN26" s="728"/>
      <c r="BO26" s="728"/>
      <c r="BP26" s="728"/>
      <c r="BQ26" s="728"/>
      <c r="BR26" s="728"/>
      <c r="BS26" s="695">
        <f t="shared" si="29"/>
        <v>0</v>
      </c>
      <c r="BT26" s="724">
        <v>459642.86749999999</v>
      </c>
      <c r="BU26" s="724"/>
      <c r="BV26" s="724"/>
      <c r="BW26" s="724"/>
      <c r="BX26" s="724"/>
      <c r="BY26" s="724"/>
      <c r="BZ26" s="724"/>
      <c r="CA26" s="724"/>
      <c r="CB26" s="724"/>
      <c r="CC26" s="724"/>
      <c r="CD26" s="724">
        <v>121149.27999999998</v>
      </c>
      <c r="CE26" s="724"/>
      <c r="CF26" s="723">
        <f t="shared" si="30"/>
        <v>580792.14749999996</v>
      </c>
      <c r="CG26" s="724"/>
      <c r="CH26" s="724"/>
      <c r="CI26" s="724"/>
      <c r="CJ26" s="724"/>
      <c r="CK26" s="724"/>
      <c r="CL26" s="724"/>
      <c r="CM26" s="724"/>
      <c r="CN26" s="724"/>
      <c r="CO26" s="724"/>
      <c r="CP26" s="724"/>
      <c r="CQ26" s="724"/>
      <c r="CR26" s="724"/>
      <c r="CS26" s="719">
        <f t="shared" si="31"/>
        <v>0</v>
      </c>
      <c r="CT26" s="724"/>
      <c r="CU26" s="724"/>
      <c r="CV26" s="724"/>
      <c r="CW26" s="724"/>
      <c r="CX26" s="724"/>
      <c r="CY26" s="724"/>
      <c r="CZ26" s="724"/>
      <c r="DA26" s="724"/>
      <c r="DB26" s="724"/>
      <c r="DC26" s="724"/>
      <c r="DD26" s="724"/>
      <c r="DE26" s="724"/>
      <c r="DF26" s="681">
        <f>SUM(CT26:DE26)</f>
        <v>0</v>
      </c>
      <c r="DG26" s="704"/>
      <c r="DH26" s="704"/>
      <c r="DI26" s="704"/>
      <c r="DJ26" s="704"/>
      <c r="DK26" s="704"/>
      <c r="DL26" s="704"/>
      <c r="DM26" s="704"/>
      <c r="DN26" s="704"/>
      <c r="DO26" s="704"/>
      <c r="DP26" s="704"/>
      <c r="DQ26" s="704"/>
      <c r="DR26" s="704"/>
      <c r="DS26" s="1">
        <f t="shared" si="18"/>
        <v>0</v>
      </c>
    </row>
    <row r="27" spans="1:123" s="729" customFormat="1" x14ac:dyDescent="0.2">
      <c r="A27" s="777"/>
      <c r="B27" s="779"/>
      <c r="C27" s="777"/>
      <c r="D27" s="686" t="s">
        <v>1409</v>
      </c>
      <c r="E27" s="686" t="s">
        <v>1896</v>
      </c>
      <c r="F27" s="686"/>
      <c r="G27" s="722"/>
      <c r="H27" s="722"/>
      <c r="I27" s="730"/>
      <c r="J27" s="731"/>
      <c r="K27" s="721"/>
      <c r="L27" s="728"/>
      <c r="M27" s="263">
        <f t="shared" si="17"/>
        <v>0</v>
      </c>
      <c r="N27" s="263">
        <f t="shared" si="6"/>
        <v>0</v>
      </c>
      <c r="O27" s="263">
        <f t="shared" si="7"/>
        <v>0</v>
      </c>
      <c r="P27" s="263">
        <f t="shared" si="8"/>
        <v>0</v>
      </c>
      <c r="Q27" s="263">
        <f t="shared" si="9"/>
        <v>0</v>
      </c>
      <c r="R27" s="263">
        <f t="shared" si="10"/>
        <v>0</v>
      </c>
      <c r="S27" s="263">
        <f t="shared" si="11"/>
        <v>0</v>
      </c>
      <c r="T27" s="263">
        <f t="shared" si="12"/>
        <v>0</v>
      </c>
      <c r="U27" s="263">
        <f t="shared" si="13"/>
        <v>0</v>
      </c>
      <c r="V27" s="249"/>
      <c r="W27" s="263">
        <f t="shared" si="14"/>
        <v>0</v>
      </c>
      <c r="X27" s="263">
        <f t="shared" si="1"/>
        <v>0</v>
      </c>
      <c r="Y27" s="249"/>
      <c r="Z27" s="249"/>
      <c r="AA27" s="263">
        <f t="shared" si="15"/>
        <v>0</v>
      </c>
      <c r="AB27" s="263">
        <f t="shared" si="2"/>
        <v>0</v>
      </c>
      <c r="AC27" s="263">
        <f t="shared" si="3"/>
        <v>268523.34399999998</v>
      </c>
      <c r="AD27" s="263">
        <f t="shared" si="4"/>
        <v>268523.34399999998</v>
      </c>
      <c r="AE27" s="263">
        <f t="shared" si="16"/>
        <v>-268523.34399999998</v>
      </c>
      <c r="AF27" s="263"/>
      <c r="AG27" s="263"/>
      <c r="AH27" s="263"/>
      <c r="AI27" s="263"/>
      <c r="AJ27" s="692"/>
      <c r="AK27" s="722"/>
      <c r="AL27" s="722"/>
      <c r="AM27" s="685"/>
      <c r="AN27" s="685"/>
      <c r="AO27" s="685"/>
      <c r="AP27" s="685"/>
      <c r="AQ27" s="685"/>
      <c r="AR27" s="685"/>
      <c r="AS27" s="694"/>
      <c r="AT27" s="728"/>
      <c r="AU27" s="728"/>
      <c r="AV27" s="728"/>
      <c r="AW27" s="728"/>
      <c r="AX27" s="728"/>
      <c r="AY27" s="728"/>
      <c r="AZ27" s="728"/>
      <c r="BA27" s="728"/>
      <c r="BB27" s="728"/>
      <c r="BC27" s="728"/>
      <c r="BD27" s="728"/>
      <c r="BE27" s="728"/>
      <c r="BF27" s="695"/>
      <c r="BG27" s="728"/>
      <c r="BH27" s="728"/>
      <c r="BI27" s="728"/>
      <c r="BJ27" s="728"/>
      <c r="BK27" s="728"/>
      <c r="BL27" s="728"/>
      <c r="BM27" s="728"/>
      <c r="BN27" s="728"/>
      <c r="BO27" s="728"/>
      <c r="BP27" s="728"/>
      <c r="BQ27" s="728"/>
      <c r="BR27" s="728"/>
      <c r="BS27" s="695"/>
      <c r="BT27" s="724"/>
      <c r="BU27" s="724"/>
      <c r="BV27" s="724"/>
      <c r="BW27" s="724"/>
      <c r="BX27" s="724"/>
      <c r="BY27" s="724"/>
      <c r="BZ27" s="724"/>
      <c r="CA27" s="724"/>
      <c r="CB27" s="724"/>
      <c r="CC27" s="724"/>
      <c r="CD27" s="724"/>
      <c r="CE27" s="724"/>
      <c r="CF27" s="723"/>
      <c r="CG27" s="724"/>
      <c r="CH27" s="724"/>
      <c r="CI27" s="724"/>
      <c r="CJ27" s="724"/>
      <c r="CK27" s="724"/>
      <c r="CL27" s="724"/>
      <c r="CM27" s="724"/>
      <c r="CN27" s="724"/>
      <c r="CO27" s="724"/>
      <c r="CP27" s="724"/>
      <c r="CQ27" s="724"/>
      <c r="CR27" s="724"/>
      <c r="CS27" s="719">
        <f t="shared" si="31"/>
        <v>0</v>
      </c>
      <c r="CT27" s="724"/>
      <c r="CU27" s="724"/>
      <c r="CV27" s="724"/>
      <c r="CW27" s="724">
        <v>268523.34399999998</v>
      </c>
      <c r="CX27" s="724"/>
      <c r="CY27" s="724"/>
      <c r="CZ27" s="724"/>
      <c r="DA27" s="724"/>
      <c r="DB27" s="724"/>
      <c r="DC27" s="724"/>
      <c r="DD27" s="724"/>
      <c r="DE27" s="724"/>
      <c r="DF27" s="681">
        <f t="shared" si="5"/>
        <v>268523.34399999998</v>
      </c>
      <c r="DG27" s="704"/>
      <c r="DH27" s="704"/>
      <c r="DI27" s="704"/>
      <c r="DJ27" s="704"/>
      <c r="DK27" s="704"/>
      <c r="DL27" s="704"/>
      <c r="DM27" s="704"/>
      <c r="DN27" s="704"/>
      <c r="DO27" s="704"/>
      <c r="DP27" s="704"/>
      <c r="DQ27" s="704"/>
      <c r="DR27" s="704"/>
      <c r="DS27" s="1">
        <f t="shared" si="18"/>
        <v>0</v>
      </c>
    </row>
    <row r="28" spans="1:123" s="729" customFormat="1" x14ac:dyDescent="0.2">
      <c r="A28" s="777" t="s">
        <v>294</v>
      </c>
      <c r="B28" s="779" t="s">
        <v>57</v>
      </c>
      <c r="C28" s="777" t="s">
        <v>295</v>
      </c>
      <c r="D28" s="717" t="s">
        <v>296</v>
      </c>
      <c r="E28" s="717" t="s">
        <v>224</v>
      </c>
      <c r="F28" s="686" t="s">
        <v>49</v>
      </c>
      <c r="G28" s="777" t="s">
        <v>284</v>
      </c>
      <c r="H28" s="777" t="s">
        <v>61</v>
      </c>
      <c r="I28" s="727">
        <v>44461</v>
      </c>
      <c r="J28" s="720">
        <v>44826</v>
      </c>
      <c r="K28" s="247">
        <v>9843198.7599999998</v>
      </c>
      <c r="L28" s="728"/>
      <c r="M28" s="263">
        <f t="shared" si="17"/>
        <v>0</v>
      </c>
      <c r="N28" s="263">
        <f t="shared" si="6"/>
        <v>0</v>
      </c>
      <c r="O28" s="263">
        <f t="shared" si="7"/>
        <v>9843198.7599999998</v>
      </c>
      <c r="P28" s="263">
        <f t="shared" si="8"/>
        <v>0</v>
      </c>
      <c r="Q28" s="263">
        <f t="shared" si="9"/>
        <v>0</v>
      </c>
      <c r="R28" s="263">
        <f t="shared" si="10"/>
        <v>0</v>
      </c>
      <c r="S28" s="263">
        <f t="shared" si="11"/>
        <v>9843198.7599999998</v>
      </c>
      <c r="T28" s="263">
        <f t="shared" si="12"/>
        <v>0</v>
      </c>
      <c r="U28" s="263">
        <f t="shared" si="13"/>
        <v>1523551.9585000002</v>
      </c>
      <c r="V28" s="249">
        <f>T28+U28</f>
        <v>1523551.9585000002</v>
      </c>
      <c r="W28" s="263">
        <f t="shared" si="14"/>
        <v>8319646.8015000001</v>
      </c>
      <c r="X28" s="263">
        <f t="shared" si="1"/>
        <v>1523551.9585000002</v>
      </c>
      <c r="Y28" s="249">
        <f>CS28</f>
        <v>7884330.8800000008</v>
      </c>
      <c r="Z28" s="249">
        <f>X28+Y28</f>
        <v>9407882.8385000005</v>
      </c>
      <c r="AA28" s="263">
        <f t="shared" si="15"/>
        <v>435315.92149999924</v>
      </c>
      <c r="AB28" s="263">
        <f t="shared" si="2"/>
        <v>9407882.8385000005</v>
      </c>
      <c r="AC28" s="263">
        <f t="shared" si="3"/>
        <v>0</v>
      </c>
      <c r="AD28" s="263">
        <f t="shared" si="4"/>
        <v>9407882.8385000005</v>
      </c>
      <c r="AE28" s="263">
        <f t="shared" si="16"/>
        <v>435315.92149999924</v>
      </c>
      <c r="AF28" s="263"/>
      <c r="AG28" s="263"/>
      <c r="AH28" s="263"/>
      <c r="AI28" s="263"/>
      <c r="AJ28" s="692">
        <v>0</v>
      </c>
      <c r="AK28" s="687">
        <v>12</v>
      </c>
      <c r="AL28" s="722" t="s">
        <v>1304</v>
      </c>
      <c r="AM28" s="685">
        <v>0</v>
      </c>
      <c r="AN28" s="685">
        <v>0</v>
      </c>
      <c r="AO28" s="685" t="s">
        <v>53</v>
      </c>
      <c r="AP28" s="685" t="s">
        <v>53</v>
      </c>
      <c r="AQ28" s="685" t="s">
        <v>53</v>
      </c>
      <c r="AR28" s="685" t="s">
        <v>54</v>
      </c>
      <c r="AS28" s="794" t="s">
        <v>70</v>
      </c>
      <c r="AT28" s="728"/>
      <c r="AU28" s="728"/>
      <c r="AV28" s="728"/>
      <c r="AW28" s="728"/>
      <c r="AX28" s="728"/>
      <c r="AY28" s="728"/>
      <c r="AZ28" s="728"/>
      <c r="BA28" s="728"/>
      <c r="BB28" s="728"/>
      <c r="BC28" s="728"/>
      <c r="BD28" s="728"/>
      <c r="BE28" s="728"/>
      <c r="BF28" s="695">
        <f>SUM(AT28:BE28)</f>
        <v>0</v>
      </c>
      <c r="BG28" s="728"/>
      <c r="BH28" s="728"/>
      <c r="BI28" s="728"/>
      <c r="BJ28" s="728"/>
      <c r="BK28" s="728"/>
      <c r="BL28" s="728"/>
      <c r="BM28" s="728"/>
      <c r="BN28" s="728"/>
      <c r="BO28" s="728"/>
      <c r="BP28" s="728"/>
      <c r="BQ28" s="728"/>
      <c r="BR28" s="728"/>
      <c r="BS28" s="695">
        <f>SUM(BG28:BR28)</f>
        <v>0</v>
      </c>
      <c r="BT28" s="724"/>
      <c r="BU28" s="724"/>
      <c r="BV28" s="724"/>
      <c r="BW28" s="724">
        <v>749857.5</v>
      </c>
      <c r="BX28" s="724">
        <v>523694.47499999998</v>
      </c>
      <c r="BY28" s="724">
        <v>249999.9835</v>
      </c>
      <c r="BZ28" s="724"/>
      <c r="CA28" s="724"/>
      <c r="CB28" s="724"/>
      <c r="CC28" s="724"/>
      <c r="CD28" s="724"/>
      <c r="CE28" s="724"/>
      <c r="CF28" s="723">
        <f>SUM(BT28:CE28)</f>
        <v>1523551.9585000002</v>
      </c>
      <c r="CG28" s="724"/>
      <c r="CH28" s="724">
        <v>2123924.33</v>
      </c>
      <c r="CI28" s="724">
        <v>1499766.75</v>
      </c>
      <c r="CJ28" s="724"/>
      <c r="CK28" s="724">
        <v>724536.33</v>
      </c>
      <c r="CL28" s="724">
        <v>1620595.62</v>
      </c>
      <c r="CM28" s="724">
        <v>398111.46</v>
      </c>
      <c r="CN28" s="724"/>
      <c r="CO28" s="724" t="s">
        <v>1620</v>
      </c>
      <c r="CP28" s="724" t="s">
        <v>1621</v>
      </c>
      <c r="CQ28" s="724">
        <f>801063+486716.39+69345+160272</f>
        <v>1517396.3900000001</v>
      </c>
      <c r="CR28" s="724"/>
      <c r="CS28" s="719">
        <f t="shared" si="31"/>
        <v>7884330.8800000008</v>
      </c>
      <c r="CT28" s="724"/>
      <c r="CU28" s="724"/>
      <c r="CV28" s="724"/>
      <c r="CW28" s="724"/>
      <c r="CX28" s="724"/>
      <c r="CY28" s="724"/>
      <c r="CZ28" s="724"/>
      <c r="DA28" s="724"/>
      <c r="DB28" s="724"/>
      <c r="DC28" s="724"/>
      <c r="DD28" s="724"/>
      <c r="DE28" s="724"/>
      <c r="DF28" s="681">
        <f t="shared" si="5"/>
        <v>0</v>
      </c>
      <c r="DG28" s="704"/>
      <c r="DH28" s="704"/>
      <c r="DI28" s="704"/>
      <c r="DJ28" s="704"/>
      <c r="DK28" s="704"/>
      <c r="DL28" s="704">
        <v>486716.39</v>
      </c>
      <c r="DM28" s="704"/>
      <c r="DN28" s="704"/>
      <c r="DO28" s="704"/>
      <c r="DP28" s="704"/>
      <c r="DQ28" s="704"/>
      <c r="DR28" s="704"/>
      <c r="DS28" s="120">
        <f t="shared" si="18"/>
        <v>486716.39</v>
      </c>
    </row>
    <row r="29" spans="1:123" s="729" customFormat="1" x14ac:dyDescent="0.2">
      <c r="A29" s="777"/>
      <c r="B29" s="779"/>
      <c r="C29" s="777"/>
      <c r="D29" s="717" t="s">
        <v>1407</v>
      </c>
      <c r="E29" s="717" t="s">
        <v>1444</v>
      </c>
      <c r="F29" s="686"/>
      <c r="G29" s="777"/>
      <c r="H29" s="777"/>
      <c r="I29" s="727"/>
      <c r="J29" s="720"/>
      <c r="K29" s="247"/>
      <c r="L29" s="728"/>
      <c r="M29" s="263">
        <f t="shared" si="17"/>
        <v>0</v>
      </c>
      <c r="N29" s="263">
        <f t="shared" si="6"/>
        <v>0</v>
      </c>
      <c r="O29" s="263">
        <f t="shared" si="7"/>
        <v>0</v>
      </c>
      <c r="P29" s="263">
        <f t="shared" si="8"/>
        <v>0</v>
      </c>
      <c r="Q29" s="263">
        <f t="shared" si="9"/>
        <v>0</v>
      </c>
      <c r="R29" s="263">
        <f t="shared" si="10"/>
        <v>0</v>
      </c>
      <c r="S29" s="263">
        <f t="shared" si="11"/>
        <v>0</v>
      </c>
      <c r="T29" s="263">
        <f t="shared" si="12"/>
        <v>0</v>
      </c>
      <c r="U29" s="263">
        <f t="shared" si="13"/>
        <v>0</v>
      </c>
      <c r="V29" s="249"/>
      <c r="W29" s="263">
        <f t="shared" si="14"/>
        <v>0</v>
      </c>
      <c r="X29" s="263">
        <f t="shared" si="1"/>
        <v>0</v>
      </c>
      <c r="Y29" s="249"/>
      <c r="Z29" s="249"/>
      <c r="AA29" s="263">
        <f t="shared" si="15"/>
        <v>0</v>
      </c>
      <c r="AB29" s="263">
        <f t="shared" si="2"/>
        <v>0</v>
      </c>
      <c r="AC29" s="263">
        <f t="shared" si="3"/>
        <v>0</v>
      </c>
      <c r="AD29" s="263">
        <f t="shared" si="4"/>
        <v>0</v>
      </c>
      <c r="AE29" s="263">
        <f t="shared" si="16"/>
        <v>0</v>
      </c>
      <c r="AF29" s="263"/>
      <c r="AG29" s="263"/>
      <c r="AH29" s="263"/>
      <c r="AI29" s="263"/>
      <c r="AJ29" s="692"/>
      <c r="AK29" s="687"/>
      <c r="AL29" s="722" t="s">
        <v>1304</v>
      </c>
      <c r="AM29" s="685"/>
      <c r="AN29" s="685"/>
      <c r="AO29" s="685"/>
      <c r="AP29" s="685"/>
      <c r="AQ29" s="685"/>
      <c r="AR29" s="685"/>
      <c r="AS29" s="794"/>
      <c r="AT29" s="728"/>
      <c r="AU29" s="728"/>
      <c r="AV29" s="728"/>
      <c r="AW29" s="728"/>
      <c r="AX29" s="728"/>
      <c r="AY29" s="728"/>
      <c r="AZ29" s="728"/>
      <c r="BA29" s="728"/>
      <c r="BB29" s="728"/>
      <c r="BC29" s="728"/>
      <c r="BD29" s="728"/>
      <c r="BE29" s="728"/>
      <c r="BF29" s="695"/>
      <c r="BG29" s="728"/>
      <c r="BH29" s="728"/>
      <c r="BI29" s="728"/>
      <c r="BJ29" s="728"/>
      <c r="BK29" s="728"/>
      <c r="BL29" s="728"/>
      <c r="BM29" s="728"/>
      <c r="BN29" s="728"/>
      <c r="BO29" s="728"/>
      <c r="BP29" s="728"/>
      <c r="BQ29" s="728"/>
      <c r="BR29" s="728"/>
      <c r="BS29" s="695"/>
      <c r="BT29" s="724"/>
      <c r="BU29" s="724"/>
      <c r="BV29" s="724"/>
      <c r="BW29" s="724"/>
      <c r="BX29" s="724"/>
      <c r="BY29" s="724"/>
      <c r="BZ29" s="724"/>
      <c r="CA29" s="724"/>
      <c r="CB29" s="724"/>
      <c r="CC29" s="724"/>
      <c r="CD29" s="724"/>
      <c r="CE29" s="724"/>
      <c r="CF29" s="723"/>
      <c r="CG29" s="724"/>
      <c r="CH29" s="724"/>
      <c r="CI29" s="724"/>
      <c r="CJ29" s="724"/>
      <c r="CK29" s="724"/>
      <c r="CL29" s="724"/>
      <c r="CM29" s="724"/>
      <c r="CN29" s="724"/>
      <c r="CO29" s="724">
        <v>250000</v>
      </c>
      <c r="CP29" s="724"/>
      <c r="CQ29" s="724"/>
      <c r="CR29" s="724"/>
      <c r="CS29" s="719">
        <f t="shared" si="31"/>
        <v>250000</v>
      </c>
      <c r="CT29" s="724"/>
      <c r="CU29" s="724"/>
      <c r="CV29" s="724"/>
      <c r="CW29" s="724"/>
      <c r="CX29" s="724"/>
      <c r="CY29" s="724"/>
      <c r="CZ29" s="724"/>
      <c r="DA29" s="724"/>
      <c r="DB29" s="724"/>
      <c r="DC29" s="724"/>
      <c r="DD29" s="724"/>
      <c r="DE29" s="724"/>
      <c r="DF29" s="681">
        <f t="shared" si="5"/>
        <v>0</v>
      </c>
      <c r="DG29" s="704"/>
      <c r="DH29" s="704"/>
      <c r="DI29" s="704"/>
      <c r="DJ29" s="704"/>
      <c r="DK29" s="704"/>
      <c r="DL29" s="704"/>
      <c r="DM29" s="704"/>
      <c r="DN29" s="704"/>
      <c r="DO29" s="704"/>
      <c r="DP29" s="704"/>
      <c r="DQ29" s="704"/>
      <c r="DR29" s="704"/>
      <c r="DS29" s="120">
        <f t="shared" si="18"/>
        <v>0</v>
      </c>
    </row>
    <row r="30" spans="1:123" s="729" customFormat="1" x14ac:dyDescent="0.2">
      <c r="A30" s="777"/>
      <c r="B30" s="779"/>
      <c r="C30" s="777"/>
      <c r="D30" s="717" t="s">
        <v>1408</v>
      </c>
      <c r="E30" s="717" t="s">
        <v>1443</v>
      </c>
      <c r="F30" s="686"/>
      <c r="G30" s="777"/>
      <c r="H30" s="777"/>
      <c r="I30" s="727"/>
      <c r="J30" s="720"/>
      <c r="K30" s="247"/>
      <c r="L30" s="728"/>
      <c r="M30" s="263">
        <f t="shared" si="17"/>
        <v>0</v>
      </c>
      <c r="N30" s="263">
        <f t="shared" si="6"/>
        <v>0</v>
      </c>
      <c r="O30" s="263">
        <f t="shared" si="7"/>
        <v>0</v>
      </c>
      <c r="P30" s="263">
        <f t="shared" si="8"/>
        <v>0</v>
      </c>
      <c r="Q30" s="263">
        <f t="shared" si="9"/>
        <v>0</v>
      </c>
      <c r="R30" s="263">
        <f t="shared" si="10"/>
        <v>0</v>
      </c>
      <c r="S30" s="263">
        <f t="shared" si="11"/>
        <v>0</v>
      </c>
      <c r="T30" s="263">
        <f t="shared" si="12"/>
        <v>0</v>
      </c>
      <c r="U30" s="263">
        <f t="shared" si="13"/>
        <v>0</v>
      </c>
      <c r="V30" s="249"/>
      <c r="W30" s="263">
        <f t="shared" si="14"/>
        <v>0</v>
      </c>
      <c r="X30" s="263">
        <f t="shared" si="1"/>
        <v>0</v>
      </c>
      <c r="Y30" s="249"/>
      <c r="Z30" s="249"/>
      <c r="AA30" s="263">
        <f t="shared" si="15"/>
        <v>0</v>
      </c>
      <c r="AB30" s="263">
        <f t="shared" si="2"/>
        <v>0</v>
      </c>
      <c r="AC30" s="263">
        <f t="shared" si="3"/>
        <v>0</v>
      </c>
      <c r="AD30" s="263">
        <f t="shared" si="4"/>
        <v>0</v>
      </c>
      <c r="AE30" s="263">
        <f t="shared" si="16"/>
        <v>0</v>
      </c>
      <c r="AF30" s="263"/>
      <c r="AG30" s="263"/>
      <c r="AH30" s="263"/>
      <c r="AI30" s="263"/>
      <c r="AJ30" s="692"/>
      <c r="AK30" s="687"/>
      <c r="AL30" s="722" t="s">
        <v>1304</v>
      </c>
      <c r="AM30" s="685"/>
      <c r="AN30" s="685"/>
      <c r="AO30" s="685"/>
      <c r="AP30" s="685"/>
      <c r="AQ30" s="685"/>
      <c r="AR30" s="685"/>
      <c r="AS30" s="794"/>
      <c r="AT30" s="728"/>
      <c r="AU30" s="728"/>
      <c r="AV30" s="728"/>
      <c r="AW30" s="728"/>
      <c r="AX30" s="728"/>
      <c r="AY30" s="728"/>
      <c r="AZ30" s="728"/>
      <c r="BA30" s="728"/>
      <c r="BB30" s="728"/>
      <c r="BC30" s="728"/>
      <c r="BD30" s="728"/>
      <c r="BE30" s="728"/>
      <c r="BF30" s="695"/>
      <c r="BG30" s="728"/>
      <c r="BH30" s="728"/>
      <c r="BI30" s="728"/>
      <c r="BJ30" s="728"/>
      <c r="BK30" s="728"/>
      <c r="BL30" s="728"/>
      <c r="BM30" s="728"/>
      <c r="BN30" s="728"/>
      <c r="BO30" s="728"/>
      <c r="BP30" s="728"/>
      <c r="BQ30" s="728"/>
      <c r="BR30" s="728"/>
      <c r="BS30" s="695"/>
      <c r="BT30" s="724"/>
      <c r="BU30" s="724"/>
      <c r="BV30" s="724"/>
      <c r="BW30" s="724"/>
      <c r="BX30" s="724"/>
      <c r="BY30" s="724"/>
      <c r="BZ30" s="724"/>
      <c r="CA30" s="724"/>
      <c r="CB30" s="724"/>
      <c r="CC30" s="724"/>
      <c r="CD30" s="724"/>
      <c r="CE30" s="724"/>
      <c r="CF30" s="723"/>
      <c r="CG30" s="724"/>
      <c r="CH30" s="724"/>
      <c r="CI30" s="724"/>
      <c r="CJ30" s="724"/>
      <c r="CK30" s="724"/>
      <c r="CL30" s="724"/>
      <c r="CM30" s="724"/>
      <c r="CN30" s="724">
        <v>250000</v>
      </c>
      <c r="CO30" s="724"/>
      <c r="CP30" s="724"/>
      <c r="CQ30" s="724"/>
      <c r="CR30" s="724"/>
      <c r="CS30" s="719">
        <f t="shared" si="31"/>
        <v>250000</v>
      </c>
      <c r="CT30" s="724"/>
      <c r="CU30" s="724"/>
      <c r="CV30" s="724"/>
      <c r="CW30" s="724"/>
      <c r="CX30" s="724"/>
      <c r="CY30" s="724"/>
      <c r="CZ30" s="724"/>
      <c r="DA30" s="724"/>
      <c r="DB30" s="724"/>
      <c r="DC30" s="724"/>
      <c r="DD30" s="724"/>
      <c r="DE30" s="724"/>
      <c r="DF30" s="681">
        <f t="shared" si="5"/>
        <v>0</v>
      </c>
      <c r="DG30" s="704"/>
      <c r="DH30" s="704"/>
      <c r="DI30" s="704"/>
      <c r="DJ30" s="704"/>
      <c r="DK30" s="704"/>
      <c r="DL30" s="704"/>
      <c r="DM30" s="704"/>
      <c r="DN30" s="704"/>
      <c r="DO30" s="704"/>
      <c r="DP30" s="704"/>
      <c r="DQ30" s="704"/>
      <c r="DR30" s="704"/>
      <c r="DS30" s="120">
        <f t="shared" si="18"/>
        <v>0</v>
      </c>
    </row>
    <row r="31" spans="1:123" s="729" customFormat="1" ht="24" x14ac:dyDescent="0.2">
      <c r="A31" s="777"/>
      <c r="B31" s="779"/>
      <c r="C31" s="777"/>
      <c r="D31" s="717" t="s">
        <v>199</v>
      </c>
      <c r="E31" s="717" t="s">
        <v>200</v>
      </c>
      <c r="F31" s="686" t="s">
        <v>49</v>
      </c>
      <c r="G31" s="777"/>
      <c r="H31" s="777"/>
      <c r="I31" s="730">
        <v>43650</v>
      </c>
      <c r="J31" s="731">
        <v>44746</v>
      </c>
      <c r="K31" s="721" t="s">
        <v>201</v>
      </c>
      <c r="L31" s="728"/>
      <c r="M31" s="263">
        <f t="shared" si="17"/>
        <v>0</v>
      </c>
      <c r="N31" s="263">
        <f t="shared" si="6"/>
        <v>0</v>
      </c>
      <c r="O31" s="263" t="e">
        <f t="shared" si="7"/>
        <v>#VALUE!</v>
      </c>
      <c r="P31" s="263">
        <f t="shared" si="8"/>
        <v>0</v>
      </c>
      <c r="Q31" s="263">
        <f t="shared" si="9"/>
        <v>0</v>
      </c>
      <c r="R31" s="263">
        <f t="shared" si="10"/>
        <v>0</v>
      </c>
      <c r="S31" s="263" t="e">
        <f t="shared" si="11"/>
        <v>#VALUE!</v>
      </c>
      <c r="T31" s="263">
        <f t="shared" si="12"/>
        <v>0</v>
      </c>
      <c r="U31" s="263">
        <f t="shared" si="13"/>
        <v>1561914.7975000001</v>
      </c>
      <c r="V31" s="249">
        <f>T31+U31</f>
        <v>1561914.7975000001</v>
      </c>
      <c r="W31" s="263" t="e">
        <f t="shared" si="14"/>
        <v>#VALUE!</v>
      </c>
      <c r="X31" s="263">
        <f t="shared" si="1"/>
        <v>1561914.7975000001</v>
      </c>
      <c r="Y31" s="249">
        <f>CS31</f>
        <v>0</v>
      </c>
      <c r="Z31" s="249">
        <f>X31+Y31</f>
        <v>1561914.7975000001</v>
      </c>
      <c r="AA31" s="263" t="e">
        <f t="shared" si="15"/>
        <v>#VALUE!</v>
      </c>
      <c r="AB31" s="263">
        <f t="shared" si="2"/>
        <v>1561914.7975000001</v>
      </c>
      <c r="AC31" s="263">
        <f t="shared" si="3"/>
        <v>0</v>
      </c>
      <c r="AD31" s="263">
        <f t="shared" si="4"/>
        <v>1561914.7975000001</v>
      </c>
      <c r="AE31" s="263" t="e">
        <f t="shared" si="16"/>
        <v>#VALUE!</v>
      </c>
      <c r="AF31" s="263"/>
      <c r="AG31" s="263"/>
      <c r="AH31" s="263"/>
      <c r="AI31" s="263"/>
      <c r="AJ31" s="692">
        <v>0</v>
      </c>
      <c r="AK31" s="687">
        <v>36</v>
      </c>
      <c r="AL31" s="722" t="s">
        <v>1304</v>
      </c>
      <c r="AM31" s="685">
        <v>0</v>
      </c>
      <c r="AN31" s="685">
        <v>0</v>
      </c>
      <c r="AO31" s="685" t="s">
        <v>53</v>
      </c>
      <c r="AP31" s="685" t="s">
        <v>53</v>
      </c>
      <c r="AQ31" s="685" t="s">
        <v>53</v>
      </c>
      <c r="AR31" s="685" t="s">
        <v>54</v>
      </c>
      <c r="AS31" s="794"/>
      <c r="AT31" s="728"/>
      <c r="AU31" s="728"/>
      <c r="AV31" s="728"/>
      <c r="AW31" s="728"/>
      <c r="AX31" s="728"/>
      <c r="AY31" s="728"/>
      <c r="AZ31" s="728"/>
      <c r="BA31" s="728"/>
      <c r="BB31" s="728"/>
      <c r="BC31" s="728"/>
      <c r="BD31" s="728"/>
      <c r="BE31" s="728"/>
      <c r="BF31" s="695">
        <f>SUM(AT31:BE31)</f>
        <v>0</v>
      </c>
      <c r="BG31" s="728"/>
      <c r="BH31" s="728"/>
      <c r="BI31" s="728"/>
      <c r="BJ31" s="728"/>
      <c r="BK31" s="728"/>
      <c r="BL31" s="728"/>
      <c r="BM31" s="728"/>
      <c r="BN31" s="728"/>
      <c r="BO31" s="728"/>
      <c r="BP31" s="728"/>
      <c r="BQ31" s="728"/>
      <c r="BR31" s="728"/>
      <c r="BS31" s="695">
        <f>SUM(BG31:BR31)</f>
        <v>0</v>
      </c>
      <c r="BT31" s="724"/>
      <c r="BU31" s="724">
        <f>122276.7975+1439638</f>
        <v>1561914.7975000001</v>
      </c>
      <c r="BV31" s="724"/>
      <c r="BW31" s="724"/>
      <c r="BX31" s="724"/>
      <c r="BY31" s="724"/>
      <c r="BZ31" s="724"/>
      <c r="CA31" s="724"/>
      <c r="CB31" s="724"/>
      <c r="CC31" s="724"/>
      <c r="CD31" s="724"/>
      <c r="CE31" s="724"/>
      <c r="CF31" s="723">
        <f>SUM(BT31:CE31)</f>
        <v>1561914.7975000001</v>
      </c>
      <c r="CG31" s="724"/>
      <c r="CH31" s="724"/>
      <c r="CI31" s="724"/>
      <c r="CJ31" s="724"/>
      <c r="CK31" s="724"/>
      <c r="CL31" s="724"/>
      <c r="CM31" s="724"/>
      <c r="CN31" s="724"/>
      <c r="CO31" s="724"/>
      <c r="CP31" s="724"/>
      <c r="CQ31" s="724"/>
      <c r="CR31" s="724"/>
      <c r="CS31" s="719">
        <f t="shared" si="31"/>
        <v>0</v>
      </c>
      <c r="CT31" s="724"/>
      <c r="CU31" s="724"/>
      <c r="CV31" s="724"/>
      <c r="CW31" s="724"/>
      <c r="CX31" s="724"/>
      <c r="CY31" s="724"/>
      <c r="CZ31" s="724"/>
      <c r="DA31" s="724"/>
      <c r="DB31" s="724"/>
      <c r="DC31" s="724"/>
      <c r="DD31" s="724"/>
      <c r="DE31" s="724"/>
      <c r="DF31" s="681">
        <f t="shared" si="5"/>
        <v>0</v>
      </c>
      <c r="DG31" s="704"/>
      <c r="DH31" s="704"/>
      <c r="DI31" s="704"/>
      <c r="DJ31" s="704"/>
      <c r="DK31" s="704"/>
      <c r="DL31" s="704"/>
      <c r="DM31" s="704"/>
      <c r="DN31" s="704"/>
      <c r="DO31" s="704"/>
      <c r="DP31" s="704"/>
      <c r="DQ31" s="704"/>
      <c r="DR31" s="704"/>
      <c r="DS31" s="120">
        <f t="shared" si="18"/>
        <v>0</v>
      </c>
    </row>
    <row r="32" spans="1:123" s="729" customFormat="1" x14ac:dyDescent="0.2">
      <c r="A32" s="777" t="s">
        <v>280</v>
      </c>
      <c r="B32" s="779" t="s">
        <v>57</v>
      </c>
      <c r="C32" s="777" t="s">
        <v>297</v>
      </c>
      <c r="D32" s="717" t="s">
        <v>2040</v>
      </c>
      <c r="E32" s="717" t="s">
        <v>299</v>
      </c>
      <c r="F32" s="686" t="s">
        <v>49</v>
      </c>
      <c r="G32" s="777" t="s">
        <v>284</v>
      </c>
      <c r="H32" s="777" t="s">
        <v>61</v>
      </c>
      <c r="I32" s="727">
        <v>44461</v>
      </c>
      <c r="J32" s="720">
        <v>44826</v>
      </c>
      <c r="K32" s="247">
        <v>12745722.550000001</v>
      </c>
      <c r="L32" s="728"/>
      <c r="M32" s="263">
        <f t="shared" si="17"/>
        <v>0</v>
      </c>
      <c r="N32" s="263">
        <f t="shared" si="6"/>
        <v>0</v>
      </c>
      <c r="O32" s="263">
        <f t="shared" si="7"/>
        <v>12745722.550000001</v>
      </c>
      <c r="P32" s="263">
        <f t="shared" si="8"/>
        <v>0</v>
      </c>
      <c r="Q32" s="263">
        <f t="shared" si="9"/>
        <v>0</v>
      </c>
      <c r="R32" s="263">
        <f t="shared" si="10"/>
        <v>0</v>
      </c>
      <c r="S32" s="263">
        <f t="shared" si="11"/>
        <v>12745722.550000001</v>
      </c>
      <c r="T32" s="263">
        <f t="shared" si="12"/>
        <v>0</v>
      </c>
      <c r="U32" s="263">
        <f t="shared" si="13"/>
        <v>3370995.4254999999</v>
      </c>
      <c r="V32" s="249">
        <f>T32+U32</f>
        <v>3370995.4254999999</v>
      </c>
      <c r="W32" s="263">
        <f t="shared" si="14"/>
        <v>9374727.1245000008</v>
      </c>
      <c r="X32" s="263">
        <f t="shared" si="1"/>
        <v>3370995.4254999999</v>
      </c>
      <c r="Y32" s="249">
        <f>CS32</f>
        <v>1219405.43</v>
      </c>
      <c r="Z32" s="249">
        <f>X32+Y32</f>
        <v>4590400.8554999996</v>
      </c>
      <c r="AA32" s="263">
        <f t="shared" si="15"/>
        <v>8155321.6945000011</v>
      </c>
      <c r="AB32" s="263">
        <f t="shared" si="2"/>
        <v>4590400.8554999996</v>
      </c>
      <c r="AC32" s="263">
        <f t="shared" si="3"/>
        <v>0</v>
      </c>
      <c r="AD32" s="263">
        <f t="shared" si="4"/>
        <v>4590400.8554999996</v>
      </c>
      <c r="AE32" s="263">
        <f t="shared" si="16"/>
        <v>8155321.6945000011</v>
      </c>
      <c r="AF32" s="263"/>
      <c r="AG32" s="263"/>
      <c r="AH32" s="263"/>
      <c r="AI32" s="263"/>
      <c r="AJ32" s="692">
        <v>0</v>
      </c>
      <c r="AK32" s="687">
        <v>12</v>
      </c>
      <c r="AL32" s="722" t="s">
        <v>1304</v>
      </c>
      <c r="AM32" s="685">
        <v>0</v>
      </c>
      <c r="AN32" s="685">
        <v>0</v>
      </c>
      <c r="AO32" s="685" t="s">
        <v>53</v>
      </c>
      <c r="AP32" s="685" t="s">
        <v>53</v>
      </c>
      <c r="AQ32" s="685" t="s">
        <v>53</v>
      </c>
      <c r="AR32" s="685" t="s">
        <v>54</v>
      </c>
      <c r="AS32" s="794" t="s">
        <v>70</v>
      </c>
      <c r="AT32" s="728"/>
      <c r="AU32" s="728"/>
      <c r="AV32" s="728"/>
      <c r="AW32" s="728"/>
      <c r="AX32" s="728"/>
      <c r="AY32" s="728"/>
      <c r="AZ32" s="728"/>
      <c r="BA32" s="728"/>
      <c r="BB32" s="728"/>
      <c r="BC32" s="728"/>
      <c r="BD32" s="728"/>
      <c r="BE32" s="728"/>
      <c r="BF32" s="695">
        <f>SUM(AT32:BE32)</f>
        <v>0</v>
      </c>
      <c r="BG32" s="728"/>
      <c r="BH32" s="728"/>
      <c r="BI32" s="728"/>
      <c r="BJ32" s="728"/>
      <c r="BK32" s="728"/>
      <c r="BL32" s="728"/>
      <c r="BM32" s="728"/>
      <c r="BN32" s="728"/>
      <c r="BO32" s="728"/>
      <c r="BP32" s="728"/>
      <c r="BQ32" s="728"/>
      <c r="BR32" s="728"/>
      <c r="BS32" s="695">
        <f>SUM(BG32:BR32)</f>
        <v>0</v>
      </c>
      <c r="BT32" s="724"/>
      <c r="BU32" s="724"/>
      <c r="BV32" s="724"/>
      <c r="BW32" s="724">
        <v>302737.5</v>
      </c>
      <c r="BX32" s="724">
        <v>533728.79999999993</v>
      </c>
      <c r="BY32" s="724">
        <v>1521840.149</v>
      </c>
      <c r="BZ32" s="724"/>
      <c r="CA32" s="724"/>
      <c r="CB32" s="724"/>
      <c r="CC32" s="724"/>
      <c r="CD32" s="724"/>
      <c r="CE32" s="724">
        <v>1012688.9764999999</v>
      </c>
      <c r="CF32" s="723">
        <f>SUM(BT32:CE32)</f>
        <v>3370995.4254999999</v>
      </c>
      <c r="CG32" s="724"/>
      <c r="CH32" s="724"/>
      <c r="CI32" s="724">
        <v>1219405.43</v>
      </c>
      <c r="CJ32" s="724"/>
      <c r="CK32" s="724"/>
      <c r="CL32" s="724"/>
      <c r="CM32" s="724"/>
      <c r="CN32" s="724"/>
      <c r="CO32" s="724"/>
      <c r="CP32" s="724"/>
      <c r="CQ32" s="724"/>
      <c r="CR32" s="724"/>
      <c r="CS32" s="719">
        <f t="shared" si="31"/>
        <v>1219405.43</v>
      </c>
      <c r="CT32" s="724"/>
      <c r="CU32" s="724"/>
      <c r="CV32" s="724"/>
      <c r="CW32" s="724"/>
      <c r="CX32" s="724"/>
      <c r="CY32" s="724"/>
      <c r="CZ32" s="724"/>
      <c r="DA32" s="724"/>
      <c r="DB32" s="724"/>
      <c r="DC32" s="724"/>
      <c r="DD32" s="724"/>
      <c r="DE32" s="724"/>
      <c r="DF32" s="681">
        <f t="shared" si="5"/>
        <v>0</v>
      </c>
      <c r="DG32" s="704"/>
      <c r="DH32" s="704"/>
      <c r="DI32" s="704"/>
      <c r="DJ32" s="704"/>
      <c r="DK32" s="704"/>
      <c r="DL32" s="704"/>
      <c r="DM32" s="704">
        <v>220356.45</v>
      </c>
      <c r="DN32" s="704"/>
      <c r="DO32" s="704"/>
      <c r="DP32" s="704"/>
      <c r="DQ32" s="704"/>
      <c r="DR32" s="704"/>
      <c r="DS32" s="120">
        <f t="shared" si="18"/>
        <v>220356.45</v>
      </c>
    </row>
    <row r="33" spans="1:123" s="729" customFormat="1" x14ac:dyDescent="0.2">
      <c r="A33" s="777"/>
      <c r="B33" s="779"/>
      <c r="C33" s="777"/>
      <c r="D33" s="717" t="s">
        <v>300</v>
      </c>
      <c r="E33" s="717" t="s">
        <v>73</v>
      </c>
      <c r="F33" s="686" t="s">
        <v>49</v>
      </c>
      <c r="G33" s="777"/>
      <c r="H33" s="777"/>
      <c r="I33" s="730">
        <v>43650</v>
      </c>
      <c r="J33" s="731">
        <v>44746</v>
      </c>
      <c r="K33" s="247" t="s">
        <v>142</v>
      </c>
      <c r="L33" s="728"/>
      <c r="M33" s="263">
        <f t="shared" si="17"/>
        <v>0</v>
      </c>
      <c r="N33" s="263">
        <f t="shared" si="6"/>
        <v>0</v>
      </c>
      <c r="O33" s="263" t="e">
        <f t="shared" si="7"/>
        <v>#VALUE!</v>
      </c>
      <c r="P33" s="263">
        <f t="shared" si="8"/>
        <v>0</v>
      </c>
      <c r="Q33" s="263">
        <f t="shared" si="9"/>
        <v>0</v>
      </c>
      <c r="R33" s="263">
        <f t="shared" si="10"/>
        <v>0</v>
      </c>
      <c r="S33" s="263" t="e">
        <f t="shared" si="11"/>
        <v>#VALUE!</v>
      </c>
      <c r="T33" s="263">
        <f t="shared" si="12"/>
        <v>0</v>
      </c>
      <c r="U33" s="263">
        <f t="shared" si="13"/>
        <v>1259607.8569999998</v>
      </c>
      <c r="V33" s="249">
        <f>T33+U33</f>
        <v>1259607.8569999998</v>
      </c>
      <c r="W33" s="263" t="e">
        <f t="shared" si="14"/>
        <v>#VALUE!</v>
      </c>
      <c r="X33" s="263">
        <f t="shared" si="1"/>
        <v>1259607.8569999998</v>
      </c>
      <c r="Y33" s="249">
        <f>CS33</f>
        <v>807885.56649999996</v>
      </c>
      <c r="Z33" s="249">
        <f>X33+Y33</f>
        <v>2067493.4234999998</v>
      </c>
      <c r="AA33" s="263" t="e">
        <f t="shared" si="15"/>
        <v>#VALUE!</v>
      </c>
      <c r="AB33" s="263">
        <f t="shared" si="2"/>
        <v>2067493.4234999998</v>
      </c>
      <c r="AC33" s="263">
        <f t="shared" si="3"/>
        <v>0</v>
      </c>
      <c r="AD33" s="263">
        <f t="shared" si="4"/>
        <v>2067493.4234999998</v>
      </c>
      <c r="AE33" s="263" t="e">
        <f t="shared" si="16"/>
        <v>#VALUE!</v>
      </c>
      <c r="AF33" s="263"/>
      <c r="AG33" s="263"/>
      <c r="AH33" s="263"/>
      <c r="AI33" s="263"/>
      <c r="AJ33" s="692">
        <v>0</v>
      </c>
      <c r="AK33" s="687">
        <v>36</v>
      </c>
      <c r="AL33" s="722" t="s">
        <v>1304</v>
      </c>
      <c r="AM33" s="685">
        <v>0</v>
      </c>
      <c r="AN33" s="685">
        <v>0</v>
      </c>
      <c r="AO33" s="685" t="s">
        <v>53</v>
      </c>
      <c r="AP33" s="685" t="s">
        <v>53</v>
      </c>
      <c r="AQ33" s="685" t="s">
        <v>53</v>
      </c>
      <c r="AR33" s="685" t="s">
        <v>54</v>
      </c>
      <c r="AS33" s="794"/>
      <c r="AT33" s="728"/>
      <c r="AU33" s="728"/>
      <c r="AV33" s="728"/>
      <c r="AW33" s="728"/>
      <c r="AX33" s="728"/>
      <c r="AY33" s="728"/>
      <c r="AZ33" s="728"/>
      <c r="BA33" s="728"/>
      <c r="BB33" s="728"/>
      <c r="BC33" s="728"/>
      <c r="BD33" s="728"/>
      <c r="BE33" s="728"/>
      <c r="BF33" s="695">
        <f>SUM(AT33:BE33)</f>
        <v>0</v>
      </c>
      <c r="BG33" s="728"/>
      <c r="BH33" s="728"/>
      <c r="BI33" s="728"/>
      <c r="BJ33" s="728"/>
      <c r="BK33" s="728"/>
      <c r="BL33" s="728"/>
      <c r="BM33" s="728"/>
      <c r="BN33" s="728"/>
      <c r="BO33" s="728"/>
      <c r="BP33" s="728"/>
      <c r="BQ33" s="728"/>
      <c r="BR33" s="728"/>
      <c r="BS33" s="695">
        <f>SUM(BG33:BR33)</f>
        <v>0</v>
      </c>
      <c r="BT33" s="724">
        <v>779363.63649999991</v>
      </c>
      <c r="BU33" s="724"/>
      <c r="BV33" s="724"/>
      <c r="BW33" s="724"/>
      <c r="BX33" s="724"/>
      <c r="BY33" s="724"/>
      <c r="BZ33" s="724"/>
      <c r="CA33" s="724"/>
      <c r="CB33" s="724">
        <v>269023.68599999999</v>
      </c>
      <c r="CC33" s="724"/>
      <c r="CD33" s="724"/>
      <c r="CE33" s="724">
        <v>211220.53449999998</v>
      </c>
      <c r="CF33" s="723">
        <f>SUM(BT33:CE33)</f>
        <v>1259607.8569999998</v>
      </c>
      <c r="CG33" s="724"/>
      <c r="CH33" s="724"/>
      <c r="CI33" s="724"/>
      <c r="CJ33" s="724"/>
      <c r="CK33" s="724">
        <v>374879.39</v>
      </c>
      <c r="CL33" s="724"/>
      <c r="CM33" s="724"/>
      <c r="CN33" s="724"/>
      <c r="CO33" s="724"/>
      <c r="CP33" s="724"/>
      <c r="CQ33" s="724"/>
      <c r="CR33" s="724">
        <v>433006.17649999994</v>
      </c>
      <c r="CS33" s="719">
        <f t="shared" si="31"/>
        <v>807885.56649999996</v>
      </c>
      <c r="CT33" s="724"/>
      <c r="CU33" s="724"/>
      <c r="CV33" s="724"/>
      <c r="CW33" s="724"/>
      <c r="CX33" s="724"/>
      <c r="CY33" s="724"/>
      <c r="CZ33" s="724"/>
      <c r="DA33" s="724"/>
      <c r="DB33" s="724"/>
      <c r="DC33" s="724"/>
      <c r="DD33" s="724"/>
      <c r="DE33" s="724"/>
      <c r="DF33" s="681">
        <f t="shared" si="5"/>
        <v>0</v>
      </c>
      <c r="DG33" s="704"/>
      <c r="DH33" s="704"/>
      <c r="DI33" s="704"/>
      <c r="DJ33" s="704"/>
      <c r="DK33" s="704"/>
      <c r="DL33" s="704"/>
      <c r="DM33" s="704"/>
      <c r="DN33" s="704"/>
      <c r="DO33" s="704"/>
      <c r="DP33" s="704"/>
      <c r="DQ33" s="704"/>
      <c r="DR33" s="704"/>
      <c r="DS33" s="120">
        <f t="shared" si="18"/>
        <v>0</v>
      </c>
    </row>
    <row r="34" spans="1:123" s="729" customFormat="1" x14ac:dyDescent="0.2">
      <c r="A34" s="777"/>
      <c r="B34" s="779"/>
      <c r="C34" s="777"/>
      <c r="D34" s="717" t="s">
        <v>86</v>
      </c>
      <c r="E34" s="717" t="s">
        <v>65</v>
      </c>
      <c r="F34" s="686"/>
      <c r="G34" s="722"/>
      <c r="H34" s="722"/>
      <c r="I34" s="730"/>
      <c r="J34" s="731"/>
      <c r="K34" s="247"/>
      <c r="L34" s="728"/>
      <c r="M34" s="263">
        <f t="shared" si="17"/>
        <v>0</v>
      </c>
      <c r="N34" s="263">
        <f t="shared" si="6"/>
        <v>0</v>
      </c>
      <c r="O34" s="263">
        <f t="shared" si="7"/>
        <v>0</v>
      </c>
      <c r="P34" s="263">
        <f t="shared" si="8"/>
        <v>0</v>
      </c>
      <c r="Q34" s="263">
        <f t="shared" si="9"/>
        <v>0</v>
      </c>
      <c r="R34" s="263">
        <f t="shared" si="10"/>
        <v>0</v>
      </c>
      <c r="S34" s="263">
        <f t="shared" si="11"/>
        <v>0</v>
      </c>
      <c r="T34" s="263">
        <f t="shared" si="12"/>
        <v>0</v>
      </c>
      <c r="U34" s="263">
        <f t="shared" si="13"/>
        <v>0</v>
      </c>
      <c r="V34" s="249"/>
      <c r="W34" s="263">
        <f t="shared" si="14"/>
        <v>0</v>
      </c>
      <c r="X34" s="263">
        <f t="shared" si="1"/>
        <v>0</v>
      </c>
      <c r="Y34" s="249"/>
      <c r="Z34" s="249"/>
      <c r="AA34" s="263">
        <f t="shared" si="15"/>
        <v>0</v>
      </c>
      <c r="AB34" s="263">
        <f t="shared" si="2"/>
        <v>0</v>
      </c>
      <c r="AC34" s="263">
        <f t="shared" si="3"/>
        <v>318643.06</v>
      </c>
      <c r="AD34" s="263">
        <f t="shared" si="4"/>
        <v>318643.06</v>
      </c>
      <c r="AE34" s="263">
        <f t="shared" si="16"/>
        <v>-318643.06</v>
      </c>
      <c r="AF34" s="263"/>
      <c r="AG34" s="263"/>
      <c r="AH34" s="263"/>
      <c r="AI34" s="263"/>
      <c r="AJ34" s="692"/>
      <c r="AK34" s="687"/>
      <c r="AL34" s="722" t="s">
        <v>1304</v>
      </c>
      <c r="AM34" s="685"/>
      <c r="AN34" s="685"/>
      <c r="AO34" s="685"/>
      <c r="AP34" s="685"/>
      <c r="AQ34" s="685"/>
      <c r="AR34" s="685"/>
      <c r="AS34" s="694"/>
      <c r="AT34" s="728"/>
      <c r="AU34" s="728"/>
      <c r="AV34" s="728"/>
      <c r="AW34" s="728"/>
      <c r="AX34" s="728"/>
      <c r="AY34" s="728"/>
      <c r="AZ34" s="728"/>
      <c r="BA34" s="728"/>
      <c r="BB34" s="728"/>
      <c r="BC34" s="728"/>
      <c r="BD34" s="728"/>
      <c r="BE34" s="728"/>
      <c r="BF34" s="695"/>
      <c r="BG34" s="728"/>
      <c r="BH34" s="728"/>
      <c r="BI34" s="728"/>
      <c r="BJ34" s="728"/>
      <c r="BK34" s="728"/>
      <c r="BL34" s="728"/>
      <c r="BM34" s="728"/>
      <c r="BN34" s="728"/>
      <c r="BO34" s="728"/>
      <c r="BP34" s="728"/>
      <c r="BQ34" s="728"/>
      <c r="BR34" s="728"/>
      <c r="BS34" s="695"/>
      <c r="BT34" s="724"/>
      <c r="BU34" s="724"/>
      <c r="BV34" s="724"/>
      <c r="BW34" s="724"/>
      <c r="BX34" s="724"/>
      <c r="BY34" s="724"/>
      <c r="BZ34" s="724"/>
      <c r="CA34" s="724"/>
      <c r="CB34" s="724"/>
      <c r="CC34" s="724"/>
      <c r="CD34" s="724"/>
      <c r="CE34" s="724"/>
      <c r="CF34" s="723"/>
      <c r="CG34" s="724"/>
      <c r="CH34" s="724"/>
      <c r="CI34" s="724"/>
      <c r="CJ34" s="724"/>
      <c r="CK34" s="724"/>
      <c r="CL34" s="724"/>
      <c r="CM34" s="724"/>
      <c r="CN34" s="724"/>
      <c r="CO34" s="724"/>
      <c r="CP34" s="724">
        <v>3726851.5059999996</v>
      </c>
      <c r="CQ34" s="724">
        <f>2121193.078+978432.25</f>
        <v>3099625.3280000002</v>
      </c>
      <c r="CR34" s="724">
        <f>688923.3125+978432.25</f>
        <v>1667355.5625</v>
      </c>
      <c r="CS34" s="719">
        <f t="shared" si="31"/>
        <v>8493832.3964999989</v>
      </c>
      <c r="CT34" s="724"/>
      <c r="CU34" s="724"/>
      <c r="CV34" s="724"/>
      <c r="CW34" s="724"/>
      <c r="CX34" s="724">
        <v>318643.06</v>
      </c>
      <c r="CY34" s="724"/>
      <c r="CZ34" s="724"/>
      <c r="DA34" s="724"/>
      <c r="DB34" s="724"/>
      <c r="DC34" s="724"/>
      <c r="DD34" s="724"/>
      <c r="DE34" s="724"/>
      <c r="DF34" s="681">
        <f t="shared" si="5"/>
        <v>318643.06</v>
      </c>
      <c r="DG34" s="704"/>
      <c r="DH34" s="704"/>
      <c r="DI34" s="704"/>
      <c r="DJ34" s="704"/>
      <c r="DK34" s="704"/>
      <c r="DL34" s="704"/>
      <c r="DM34" s="704"/>
      <c r="DN34" s="704"/>
      <c r="DO34" s="704"/>
      <c r="DP34" s="704"/>
      <c r="DQ34" s="704"/>
      <c r="DR34" s="704"/>
      <c r="DS34" s="120">
        <f t="shared" si="18"/>
        <v>0</v>
      </c>
    </row>
    <row r="35" spans="1:123" s="714" customFormat="1" x14ac:dyDescent="0.2">
      <c r="A35" s="778" t="s">
        <v>304</v>
      </c>
      <c r="B35" s="772" t="s">
        <v>57</v>
      </c>
      <c r="C35" s="778" t="s">
        <v>305</v>
      </c>
      <c r="D35" s="705" t="s">
        <v>2039</v>
      </c>
      <c r="E35" s="705" t="s">
        <v>177</v>
      </c>
      <c r="F35" s="664" t="s">
        <v>49</v>
      </c>
      <c r="G35" s="778" t="s">
        <v>284</v>
      </c>
      <c r="H35" s="778" t="s">
        <v>61</v>
      </c>
      <c r="I35" s="706">
        <v>44461</v>
      </c>
      <c r="J35" s="706">
        <v>44826</v>
      </c>
      <c r="K35" s="707">
        <v>2678880.38</v>
      </c>
      <c r="L35" s="708"/>
      <c r="M35" s="709">
        <f t="shared" si="17"/>
        <v>0</v>
      </c>
      <c r="N35" s="709">
        <f t="shared" si="6"/>
        <v>0</v>
      </c>
      <c r="O35" s="709">
        <f t="shared" si="7"/>
        <v>2678880.38</v>
      </c>
      <c r="P35" s="709">
        <f t="shared" si="8"/>
        <v>0</v>
      </c>
      <c r="Q35" s="709">
        <f t="shared" si="9"/>
        <v>0</v>
      </c>
      <c r="R35" s="709">
        <f t="shared" si="10"/>
        <v>0</v>
      </c>
      <c r="S35" s="709">
        <f t="shared" si="11"/>
        <v>2678880.38</v>
      </c>
      <c r="T35" s="709">
        <f t="shared" si="12"/>
        <v>0</v>
      </c>
      <c r="U35" s="709">
        <f t="shared" si="13"/>
        <v>0</v>
      </c>
      <c r="V35" s="710">
        <f>T35+U35</f>
        <v>0</v>
      </c>
      <c r="W35" s="709">
        <f t="shared" si="14"/>
        <v>2678880.38</v>
      </c>
      <c r="X35" s="709">
        <f t="shared" si="1"/>
        <v>0</v>
      </c>
      <c r="Y35" s="710">
        <f>CS35</f>
        <v>0</v>
      </c>
      <c r="Z35" s="710">
        <f>X35+Y35</f>
        <v>0</v>
      </c>
      <c r="AA35" s="709">
        <f t="shared" si="15"/>
        <v>2678880.38</v>
      </c>
      <c r="AB35" s="709">
        <f t="shared" si="2"/>
        <v>0</v>
      </c>
      <c r="AC35" s="709">
        <f t="shared" si="3"/>
        <v>0</v>
      </c>
      <c r="AD35" s="709">
        <f t="shared" si="4"/>
        <v>0</v>
      </c>
      <c r="AE35" s="709">
        <f t="shared" si="16"/>
        <v>2678880.38</v>
      </c>
      <c r="AF35" s="709"/>
      <c r="AG35" s="709"/>
      <c r="AH35" s="709"/>
      <c r="AI35" s="709"/>
      <c r="AJ35" s="711">
        <v>0</v>
      </c>
      <c r="AK35" s="637">
        <v>12</v>
      </c>
      <c r="AL35" s="637" t="s">
        <v>1304</v>
      </c>
      <c r="AM35" s="712">
        <v>0</v>
      </c>
      <c r="AN35" s="712">
        <v>0</v>
      </c>
      <c r="AO35" s="712" t="s">
        <v>53</v>
      </c>
      <c r="AP35" s="712" t="s">
        <v>53</v>
      </c>
      <c r="AQ35" s="712" t="s">
        <v>53</v>
      </c>
      <c r="AR35" s="712" t="s">
        <v>54</v>
      </c>
      <c r="AS35" s="793" t="s">
        <v>70</v>
      </c>
      <c r="AT35" s="708"/>
      <c r="AU35" s="708"/>
      <c r="AV35" s="708"/>
      <c r="AW35" s="708"/>
      <c r="AX35" s="708"/>
      <c r="AY35" s="708"/>
      <c r="AZ35" s="708"/>
      <c r="BA35" s="708"/>
      <c r="BB35" s="708"/>
      <c r="BC35" s="708"/>
      <c r="BD35" s="708"/>
      <c r="BE35" s="708"/>
      <c r="BF35" s="669">
        <f>SUM(AT35:BE35)</f>
        <v>0</v>
      </c>
      <c r="BG35" s="708"/>
      <c r="BH35" s="708"/>
      <c r="BI35" s="708"/>
      <c r="BJ35" s="708"/>
      <c r="BK35" s="708"/>
      <c r="BL35" s="708"/>
      <c r="BM35" s="708"/>
      <c r="BN35" s="708"/>
      <c r="BO35" s="708"/>
      <c r="BP35" s="708"/>
      <c r="BQ35" s="708"/>
      <c r="BR35" s="708"/>
      <c r="BS35" s="669">
        <f>SUM(BG35:BR35)</f>
        <v>0</v>
      </c>
      <c r="BT35" s="406"/>
      <c r="BU35" s="406"/>
      <c r="BV35" s="406"/>
      <c r="BW35" s="406"/>
      <c r="BX35" s="406"/>
      <c r="BY35" s="406"/>
      <c r="BZ35" s="406"/>
      <c r="CA35" s="406"/>
      <c r="CB35" s="406"/>
      <c r="CC35" s="406"/>
      <c r="CD35" s="406"/>
      <c r="CE35" s="406"/>
      <c r="CF35" s="669">
        <f>SUM(BT35:CE35)</f>
        <v>0</v>
      </c>
      <c r="CG35" s="406"/>
      <c r="CH35" s="406"/>
      <c r="CI35" s="406"/>
      <c r="CJ35" s="406"/>
      <c r="CK35" s="406"/>
      <c r="CL35" s="406"/>
      <c r="CM35" s="406"/>
      <c r="CN35" s="406"/>
      <c r="CO35" s="406"/>
      <c r="CP35" s="406"/>
      <c r="CQ35" s="406"/>
      <c r="CR35" s="406"/>
      <c r="CS35" s="401">
        <f t="shared" si="31"/>
        <v>0</v>
      </c>
      <c r="CT35" s="406"/>
      <c r="CU35" s="406"/>
      <c r="CV35" s="406"/>
      <c r="CW35" s="406"/>
      <c r="CX35" s="406"/>
      <c r="CY35" s="406"/>
      <c r="CZ35" s="406"/>
      <c r="DA35" s="406"/>
      <c r="DB35" s="406"/>
      <c r="DC35" s="406"/>
      <c r="DD35" s="406"/>
      <c r="DE35" s="406"/>
      <c r="DF35" s="401">
        <f t="shared" si="5"/>
        <v>0</v>
      </c>
      <c r="DG35" s="705">
        <v>350043.9</v>
      </c>
      <c r="DH35" s="703"/>
      <c r="DI35" s="703">
        <v>724074.5</v>
      </c>
      <c r="DJ35" s="703">
        <v>321264</v>
      </c>
      <c r="DK35" s="703">
        <v>578302.80000000005</v>
      </c>
      <c r="DL35" s="703"/>
      <c r="DM35" s="703"/>
      <c r="DN35" s="703"/>
      <c r="DO35" s="703">
        <v>452419.2</v>
      </c>
      <c r="DP35" s="703"/>
      <c r="DQ35" s="703">
        <v>339032.88</v>
      </c>
      <c r="DR35" s="713">
        <v>309727.65999999997</v>
      </c>
      <c r="DS35" s="1">
        <f t="shared" si="18"/>
        <v>3074864.94</v>
      </c>
    </row>
    <row r="36" spans="1:123" s="714" customFormat="1" ht="24" x14ac:dyDescent="0.2">
      <c r="A36" s="778"/>
      <c r="B36" s="772"/>
      <c r="C36" s="778"/>
      <c r="D36" s="705" t="s">
        <v>303</v>
      </c>
      <c r="E36" s="705" t="s">
        <v>275</v>
      </c>
      <c r="F36" s="664" t="s">
        <v>49</v>
      </c>
      <c r="G36" s="778"/>
      <c r="H36" s="778"/>
      <c r="I36" s="715">
        <v>43648</v>
      </c>
      <c r="J36" s="715">
        <v>44744</v>
      </c>
      <c r="K36" s="716" t="s">
        <v>276</v>
      </c>
      <c r="L36" s="708"/>
      <c r="M36" s="709">
        <f t="shared" si="17"/>
        <v>0</v>
      </c>
      <c r="N36" s="709">
        <f t="shared" si="6"/>
        <v>0</v>
      </c>
      <c r="O36" s="709" t="e">
        <f t="shared" si="7"/>
        <v>#VALUE!</v>
      </c>
      <c r="P36" s="709">
        <f t="shared" si="8"/>
        <v>0</v>
      </c>
      <c r="Q36" s="709">
        <f t="shared" si="9"/>
        <v>0</v>
      </c>
      <c r="R36" s="709">
        <f t="shared" si="10"/>
        <v>0</v>
      </c>
      <c r="S36" s="709" t="e">
        <f t="shared" si="11"/>
        <v>#VALUE!</v>
      </c>
      <c r="T36" s="709">
        <f t="shared" si="12"/>
        <v>0</v>
      </c>
      <c r="U36" s="709">
        <f t="shared" si="13"/>
        <v>199770.32499999998</v>
      </c>
      <c r="V36" s="710">
        <f>T36+U36</f>
        <v>199770.32499999998</v>
      </c>
      <c r="W36" s="709" t="e">
        <f t="shared" si="14"/>
        <v>#VALUE!</v>
      </c>
      <c r="X36" s="709">
        <f t="shared" si="1"/>
        <v>199770.32499999998</v>
      </c>
      <c r="Y36" s="710">
        <f>CS36</f>
        <v>0</v>
      </c>
      <c r="Z36" s="710">
        <f>X36+Y36</f>
        <v>199770.32499999998</v>
      </c>
      <c r="AA36" s="709" t="e">
        <f t="shared" si="15"/>
        <v>#VALUE!</v>
      </c>
      <c r="AB36" s="709">
        <f t="shared" si="2"/>
        <v>199770.32499999998</v>
      </c>
      <c r="AC36" s="709">
        <f t="shared" si="3"/>
        <v>0</v>
      </c>
      <c r="AD36" s="709">
        <f t="shared" si="4"/>
        <v>199770.32499999998</v>
      </c>
      <c r="AE36" s="709" t="e">
        <f t="shared" si="16"/>
        <v>#VALUE!</v>
      </c>
      <c r="AF36" s="709"/>
      <c r="AG36" s="709"/>
      <c r="AH36" s="709"/>
      <c r="AI36" s="709"/>
      <c r="AJ36" s="711">
        <v>0</v>
      </c>
      <c r="AK36" s="637">
        <v>36</v>
      </c>
      <c r="AL36" s="637" t="s">
        <v>1304</v>
      </c>
      <c r="AM36" s="712">
        <v>0</v>
      </c>
      <c r="AN36" s="712">
        <v>0</v>
      </c>
      <c r="AO36" s="712" t="s">
        <v>53</v>
      </c>
      <c r="AP36" s="712" t="s">
        <v>53</v>
      </c>
      <c r="AQ36" s="712" t="s">
        <v>53</v>
      </c>
      <c r="AR36" s="712" t="s">
        <v>54</v>
      </c>
      <c r="AS36" s="793"/>
      <c r="AT36" s="708"/>
      <c r="AU36" s="708"/>
      <c r="AV36" s="708"/>
      <c r="AW36" s="708"/>
      <c r="AX36" s="708"/>
      <c r="AY36" s="708"/>
      <c r="AZ36" s="708"/>
      <c r="BA36" s="708"/>
      <c r="BB36" s="708"/>
      <c r="BC36" s="708"/>
      <c r="BD36" s="708"/>
      <c r="BE36" s="708"/>
      <c r="BF36" s="669">
        <f>SUM(AT36:BE36)</f>
        <v>0</v>
      </c>
      <c r="BG36" s="708"/>
      <c r="BH36" s="708"/>
      <c r="BI36" s="708"/>
      <c r="BJ36" s="708"/>
      <c r="BK36" s="708"/>
      <c r="BL36" s="708"/>
      <c r="BM36" s="708"/>
      <c r="BN36" s="708"/>
      <c r="BO36" s="708"/>
      <c r="BP36" s="708"/>
      <c r="BQ36" s="708"/>
      <c r="BR36" s="708"/>
      <c r="BS36" s="669">
        <f>SUM(BG36:BR36)</f>
        <v>0</v>
      </c>
      <c r="BT36" s="406">
        <v>144653.32499999998</v>
      </c>
      <c r="BU36" s="406"/>
      <c r="BV36" s="406"/>
      <c r="BW36" s="406"/>
      <c r="BX36" s="406"/>
      <c r="BY36" s="406"/>
      <c r="BZ36" s="406"/>
      <c r="CA36" s="406">
        <v>55117</v>
      </c>
      <c r="CB36" s="406"/>
      <c r="CC36" s="406"/>
      <c r="CD36" s="406"/>
      <c r="CE36" s="406"/>
      <c r="CF36" s="669">
        <f>SUM(BT36:CE36)</f>
        <v>199770.32499999998</v>
      </c>
      <c r="CG36" s="406"/>
      <c r="CH36" s="406"/>
      <c r="CI36" s="406"/>
      <c r="CJ36" s="406"/>
      <c r="CK36" s="406"/>
      <c r="CL36" s="406"/>
      <c r="CM36" s="406"/>
      <c r="CN36" s="406"/>
      <c r="CO36" s="406"/>
      <c r="CP36" s="406"/>
      <c r="CQ36" s="406"/>
      <c r="CR36" s="406"/>
      <c r="CS36" s="401">
        <f t="shared" si="31"/>
        <v>0</v>
      </c>
      <c r="CT36" s="406"/>
      <c r="CU36" s="406"/>
      <c r="CV36" s="406"/>
      <c r="CW36" s="406"/>
      <c r="CX36" s="406"/>
      <c r="CY36" s="406"/>
      <c r="CZ36" s="406"/>
      <c r="DA36" s="406"/>
      <c r="DB36" s="406"/>
      <c r="DC36" s="406"/>
      <c r="DD36" s="406"/>
      <c r="DE36" s="406"/>
      <c r="DF36" s="401">
        <f t="shared" si="5"/>
        <v>0</v>
      </c>
      <c r="DG36" s="705"/>
      <c r="DH36" s="703">
        <v>164170.01</v>
      </c>
      <c r="DI36" s="703"/>
      <c r="DJ36" s="703"/>
      <c r="DK36" s="703"/>
      <c r="DL36" s="703"/>
      <c r="DM36" s="703"/>
      <c r="DN36" s="703"/>
      <c r="DO36" s="703"/>
      <c r="DP36" s="703">
        <v>13160.61</v>
      </c>
      <c r="DQ36" s="703"/>
      <c r="DR36" s="703"/>
      <c r="DS36" s="1">
        <f t="shared" si="18"/>
        <v>177330.62</v>
      </c>
    </row>
    <row r="37" spans="1:123" x14ac:dyDescent="0.2">
      <c r="A37" s="331"/>
      <c r="B37" s="369"/>
      <c r="C37" s="425" t="s">
        <v>1329</v>
      </c>
      <c r="D37" s="331"/>
      <c r="E37" s="331"/>
      <c r="F37" s="331"/>
      <c r="G37" s="331"/>
      <c r="H37" s="335"/>
      <c r="I37" s="331"/>
      <c r="J37" s="331"/>
      <c r="K37" s="413"/>
      <c r="L37" s="357"/>
      <c r="M37" s="427">
        <f t="shared" ref="M37:M85" si="32">BF37</f>
        <v>0</v>
      </c>
      <c r="N37" s="427">
        <f t="shared" ref="N37:N85" si="33">L37+M37</f>
        <v>0</v>
      </c>
      <c r="O37" s="427">
        <f t="shared" ref="O37:O85" si="34">K37-N37</f>
        <v>0</v>
      </c>
      <c r="P37" s="427">
        <f t="shared" ref="P37:P85" si="35">N37</f>
        <v>0</v>
      </c>
      <c r="Q37" s="427">
        <f t="shared" ref="Q37:Q85" si="36">BS37</f>
        <v>0</v>
      </c>
      <c r="R37" s="427">
        <f t="shared" ref="R37:R85" si="37">P37+Q37</f>
        <v>0</v>
      </c>
      <c r="S37" s="427">
        <f t="shared" ref="S37:S85" si="38">K37-R37</f>
        <v>0</v>
      </c>
      <c r="T37" s="427">
        <f t="shared" ref="T37:T85" si="39">R37</f>
        <v>0</v>
      </c>
      <c r="U37" s="427">
        <f t="shared" ref="U37:U85" si="40">CF37</f>
        <v>0</v>
      </c>
      <c r="V37" s="331"/>
      <c r="W37" s="427">
        <f t="shared" ref="W37:W85" si="41">K37-V37</f>
        <v>0</v>
      </c>
      <c r="X37" s="427">
        <f t="shared" ref="X37:X85" si="42">V37</f>
        <v>0</v>
      </c>
      <c r="Y37" s="331"/>
      <c r="Z37" s="331"/>
      <c r="AA37" s="427">
        <f t="shared" ref="AA37:AA85" si="43">K37-Z37</f>
        <v>0</v>
      </c>
      <c r="AB37" s="427">
        <f t="shared" ref="AB37:AB89" si="44">Z37</f>
        <v>0</v>
      </c>
      <c r="AC37" s="427">
        <f t="shared" ref="AC37:AC89" si="45">DF37</f>
        <v>0</v>
      </c>
      <c r="AD37" s="427">
        <f t="shared" ref="AD37:AD89" si="46">AB37+AC37</f>
        <v>0</v>
      </c>
      <c r="AE37" s="427">
        <f t="shared" ref="AE37:AE89" si="47">K37-AD37</f>
        <v>0</v>
      </c>
      <c r="AF37" s="427"/>
      <c r="AG37" s="427"/>
      <c r="AH37" s="427"/>
      <c r="AI37" s="427"/>
      <c r="AJ37" s="331"/>
      <c r="AK37" s="333"/>
      <c r="AL37" s="333"/>
      <c r="AM37" s="331"/>
      <c r="AN37" s="331"/>
      <c r="AO37" s="331"/>
      <c r="AP37" s="331"/>
      <c r="AQ37" s="331"/>
      <c r="AR37" s="331"/>
      <c r="AS37" s="331"/>
      <c r="AT37" s="331"/>
      <c r="AU37" s="331"/>
      <c r="AV37" s="331"/>
      <c r="AW37" s="331"/>
      <c r="AX37" s="331"/>
      <c r="AY37" s="331"/>
      <c r="AZ37" s="331"/>
      <c r="BA37" s="331"/>
      <c r="BB37" s="331"/>
      <c r="BC37" s="331"/>
      <c r="BD37" s="331"/>
      <c r="BE37" s="331"/>
      <c r="BF37" s="390"/>
      <c r="BG37" s="331"/>
      <c r="BH37" s="331"/>
      <c r="BI37" s="331"/>
      <c r="BJ37" s="331"/>
      <c r="BK37" s="331"/>
      <c r="BL37" s="331"/>
      <c r="BM37" s="331"/>
      <c r="BN37" s="331"/>
      <c r="BO37" s="331"/>
      <c r="BP37" s="331"/>
      <c r="BQ37" s="331"/>
      <c r="BR37" s="331"/>
      <c r="BS37" s="390"/>
      <c r="BT37" s="328"/>
      <c r="BU37" s="328"/>
      <c r="BV37" s="328"/>
      <c r="BW37" s="328"/>
      <c r="BX37" s="328"/>
      <c r="BY37" s="328"/>
      <c r="BZ37" s="328"/>
      <c r="CA37" s="328"/>
      <c r="CB37" s="328"/>
      <c r="CC37" s="328"/>
      <c r="CD37" s="328"/>
      <c r="CE37" s="328"/>
      <c r="CF37" s="390"/>
      <c r="CG37" s="328"/>
      <c r="CH37" s="328"/>
      <c r="CI37" s="328"/>
      <c r="CJ37" s="328"/>
      <c r="CK37" s="328"/>
      <c r="CL37" s="328"/>
      <c r="CM37" s="328"/>
      <c r="CN37" s="328"/>
      <c r="CO37" s="328"/>
      <c r="CP37" s="328"/>
      <c r="CQ37" s="328"/>
      <c r="CR37" s="328"/>
      <c r="CS37" s="329">
        <f t="shared" ref="CS37:CS45" si="48">SUM(CG37:CR37)</f>
        <v>0</v>
      </c>
      <c r="CT37" s="328"/>
      <c r="CU37" s="328"/>
      <c r="CV37" s="328"/>
      <c r="CW37" s="328"/>
      <c r="CX37" s="328"/>
      <c r="CY37" s="328"/>
      <c r="CZ37" s="328"/>
      <c r="DA37" s="328"/>
      <c r="DB37" s="328"/>
      <c r="DC37" s="328"/>
      <c r="DD37" s="328"/>
      <c r="DE37" s="328"/>
      <c r="DF37" s="328">
        <f t="shared" ref="DF37:DF89" si="49">SUM(CT37:DE37)</f>
        <v>0</v>
      </c>
      <c r="DG37" s="331"/>
      <c r="DH37" s="1"/>
      <c r="DI37" s="1"/>
      <c r="DJ37" s="1"/>
      <c r="DK37" s="1"/>
      <c r="DL37" s="1"/>
      <c r="DM37" s="1"/>
      <c r="DN37" s="1"/>
      <c r="DO37" s="1"/>
      <c r="DP37" s="1"/>
      <c r="DQ37" s="1"/>
      <c r="DR37" s="1"/>
      <c r="DS37" s="1">
        <f t="shared" si="18"/>
        <v>0</v>
      </c>
    </row>
    <row r="38" spans="1:123" s="696" customFormat="1" ht="15" x14ac:dyDescent="0.25">
      <c r="A38" s="759" t="s">
        <v>1401</v>
      </c>
      <c r="B38" s="767" t="s">
        <v>107</v>
      </c>
      <c r="C38" s="759" t="s">
        <v>1400</v>
      </c>
      <c r="D38" s="120" t="s">
        <v>2038</v>
      </c>
      <c r="E38" s="717" t="s">
        <v>293</v>
      </c>
      <c r="F38" s="686" t="s">
        <v>49</v>
      </c>
      <c r="G38" s="120" t="s">
        <v>284</v>
      </c>
      <c r="H38" s="687" t="s">
        <v>61</v>
      </c>
      <c r="I38" s="725">
        <v>44949</v>
      </c>
      <c r="J38" s="120"/>
      <c r="K38" s="688">
        <v>3479314.19</v>
      </c>
      <c r="L38" s="689"/>
      <c r="M38" s="263">
        <f t="shared" si="32"/>
        <v>0</v>
      </c>
      <c r="N38" s="263">
        <f t="shared" si="33"/>
        <v>0</v>
      </c>
      <c r="O38" s="263">
        <f t="shared" si="34"/>
        <v>3479314.19</v>
      </c>
      <c r="P38" s="263">
        <f t="shared" si="35"/>
        <v>0</v>
      </c>
      <c r="Q38" s="263">
        <f t="shared" si="36"/>
        <v>0</v>
      </c>
      <c r="R38" s="263">
        <f t="shared" si="37"/>
        <v>0</v>
      </c>
      <c r="S38" s="263">
        <f t="shared" si="38"/>
        <v>3479314.19</v>
      </c>
      <c r="T38" s="263">
        <f t="shared" si="39"/>
        <v>0</v>
      </c>
      <c r="U38" s="263">
        <f t="shared" si="40"/>
        <v>0</v>
      </c>
      <c r="V38" s="690">
        <f t="shared" ref="V38:V45" si="50">T38+U38</f>
        <v>0</v>
      </c>
      <c r="W38" s="263">
        <f t="shared" si="41"/>
        <v>3479314.19</v>
      </c>
      <c r="X38" s="263">
        <f t="shared" si="42"/>
        <v>0</v>
      </c>
      <c r="Y38" s="718">
        <f t="shared" ref="Y38:Y45" si="51">CS38</f>
        <v>3305667.7479999997</v>
      </c>
      <c r="Z38" s="690">
        <f t="shared" ref="Z38:Z45" si="52">X38+Y38</f>
        <v>3305667.7479999997</v>
      </c>
      <c r="AA38" s="263">
        <f t="shared" si="43"/>
        <v>173646.44200000027</v>
      </c>
      <c r="AB38" s="263">
        <f t="shared" si="44"/>
        <v>3305667.7479999997</v>
      </c>
      <c r="AC38" s="263">
        <f t="shared" si="45"/>
        <v>484504.30349999998</v>
      </c>
      <c r="AD38" s="263">
        <f t="shared" si="46"/>
        <v>3790172.0514999996</v>
      </c>
      <c r="AE38" s="263">
        <f t="shared" si="47"/>
        <v>-310857.86149999965</v>
      </c>
      <c r="AF38" s="263"/>
      <c r="AG38" s="263"/>
      <c r="AH38" s="263"/>
      <c r="AI38" s="263"/>
      <c r="AJ38" s="692">
        <v>0</v>
      </c>
      <c r="AK38" s="693"/>
      <c r="AL38" s="693" t="s">
        <v>1304</v>
      </c>
      <c r="AM38" s="120">
        <v>0</v>
      </c>
      <c r="AN38" s="120">
        <v>0</v>
      </c>
      <c r="AO38" s="120" t="s">
        <v>53</v>
      </c>
      <c r="AP38" s="120" t="s">
        <v>53</v>
      </c>
      <c r="AQ38" s="120" t="s">
        <v>53</v>
      </c>
      <c r="AR38" s="120" t="s">
        <v>54</v>
      </c>
      <c r="AS38" s="120"/>
      <c r="AT38" s="120"/>
      <c r="AU38" s="120"/>
      <c r="AV38" s="120"/>
      <c r="AW38" s="120"/>
      <c r="AX38" s="120"/>
      <c r="AY38" s="120"/>
      <c r="AZ38" s="120"/>
      <c r="BA38" s="120"/>
      <c r="BB38" s="120"/>
      <c r="BC38" s="120"/>
      <c r="BD38" s="120"/>
      <c r="BE38" s="120"/>
      <c r="BF38" s="695"/>
      <c r="BG38" s="120"/>
      <c r="BH38" s="120"/>
      <c r="BI38" s="120"/>
      <c r="BJ38" s="120"/>
      <c r="BK38" s="120"/>
      <c r="BL38" s="120"/>
      <c r="BM38" s="120"/>
      <c r="BN38" s="120"/>
      <c r="BO38" s="120"/>
      <c r="BP38" s="120"/>
      <c r="BQ38" s="120"/>
      <c r="BR38" s="120"/>
      <c r="BS38" s="695"/>
      <c r="BT38" s="681"/>
      <c r="BU38" s="681"/>
      <c r="BV38" s="681"/>
      <c r="BW38" s="681"/>
      <c r="BX38" s="681"/>
      <c r="BY38" s="681"/>
      <c r="BZ38" s="681"/>
      <c r="CA38" s="681"/>
      <c r="CB38" s="681"/>
      <c r="CC38" s="681"/>
      <c r="CD38" s="681"/>
      <c r="CE38" s="681"/>
      <c r="CF38" s="695"/>
      <c r="CG38" s="681"/>
      <c r="CH38" s="681"/>
      <c r="CI38" s="681"/>
      <c r="CJ38" s="681"/>
      <c r="CK38" s="681"/>
      <c r="CL38" s="681"/>
      <c r="CM38" s="681"/>
      <c r="CN38" s="681"/>
      <c r="CO38" s="681">
        <v>237980.99999999997</v>
      </c>
      <c r="CP38" s="681">
        <v>355922.69999999995</v>
      </c>
      <c r="CQ38" s="681">
        <v>297598.33399999997</v>
      </c>
      <c r="CR38" s="681">
        <f>231868.014+1203865.45+978432.25</f>
        <v>2414165.7139999997</v>
      </c>
      <c r="CS38" s="719">
        <f t="shared" si="48"/>
        <v>3305667.7479999997</v>
      </c>
      <c r="CT38" s="681"/>
      <c r="CU38" s="681"/>
      <c r="CV38" s="681"/>
      <c r="CW38" s="681"/>
      <c r="CX38" s="681">
        <v>0</v>
      </c>
      <c r="CY38" s="726">
        <v>484504.30349999998</v>
      </c>
      <c r="CZ38" s="681"/>
      <c r="DA38" s="681"/>
      <c r="DB38" s="681"/>
      <c r="DC38" s="681"/>
      <c r="DD38" s="681"/>
      <c r="DE38" s="681"/>
      <c r="DF38" s="681">
        <f t="shared" si="49"/>
        <v>484504.30349999998</v>
      </c>
      <c r="DG38" s="120"/>
      <c r="DH38" s="120"/>
      <c r="DI38" s="120"/>
      <c r="DJ38" s="120"/>
      <c r="DK38" s="120"/>
      <c r="DL38" s="120"/>
      <c r="DM38" s="120"/>
      <c r="DN38" s="120"/>
      <c r="DO38" s="120"/>
      <c r="DP38" s="120"/>
      <c r="DQ38" s="120">
        <v>156207.57999999999</v>
      </c>
      <c r="DR38" s="120"/>
      <c r="DS38" s="1">
        <f t="shared" si="18"/>
        <v>156207.57999999999</v>
      </c>
    </row>
    <row r="39" spans="1:123" s="696" customFormat="1" x14ac:dyDescent="0.2">
      <c r="A39" s="759"/>
      <c r="B39" s="767"/>
      <c r="C39" s="759"/>
      <c r="D39" s="120" t="s">
        <v>2037</v>
      </c>
      <c r="E39" s="686" t="s">
        <v>73</v>
      </c>
      <c r="F39" s="686" t="s">
        <v>49</v>
      </c>
      <c r="G39" s="120" t="s">
        <v>284</v>
      </c>
      <c r="H39" s="687" t="s">
        <v>61</v>
      </c>
      <c r="I39" s="120"/>
      <c r="J39" s="120"/>
      <c r="K39" s="688"/>
      <c r="L39" s="689"/>
      <c r="M39" s="263">
        <f t="shared" si="32"/>
        <v>0</v>
      </c>
      <c r="N39" s="263">
        <f t="shared" si="33"/>
        <v>0</v>
      </c>
      <c r="O39" s="263">
        <f t="shared" si="34"/>
        <v>0</v>
      </c>
      <c r="P39" s="263">
        <f t="shared" si="35"/>
        <v>0</v>
      </c>
      <c r="Q39" s="263">
        <f t="shared" si="36"/>
        <v>0</v>
      </c>
      <c r="R39" s="263">
        <f t="shared" si="37"/>
        <v>0</v>
      </c>
      <c r="S39" s="263">
        <f t="shared" si="38"/>
        <v>0</v>
      </c>
      <c r="T39" s="263">
        <f t="shared" si="39"/>
        <v>0</v>
      </c>
      <c r="U39" s="263">
        <f t="shared" si="40"/>
        <v>0</v>
      </c>
      <c r="V39" s="690">
        <f t="shared" si="50"/>
        <v>0</v>
      </c>
      <c r="W39" s="263">
        <f t="shared" si="41"/>
        <v>0</v>
      </c>
      <c r="X39" s="263">
        <f t="shared" si="42"/>
        <v>0</v>
      </c>
      <c r="Y39" s="718">
        <f t="shared" si="51"/>
        <v>374879.39</v>
      </c>
      <c r="Z39" s="690">
        <f t="shared" si="52"/>
        <v>374879.39</v>
      </c>
      <c r="AA39" s="263">
        <f t="shared" si="43"/>
        <v>-374879.39</v>
      </c>
      <c r="AB39" s="263">
        <f t="shared" si="44"/>
        <v>374879.39</v>
      </c>
      <c r="AC39" s="263">
        <f t="shared" si="45"/>
        <v>0</v>
      </c>
      <c r="AD39" s="263">
        <f t="shared" si="46"/>
        <v>374879.39</v>
      </c>
      <c r="AE39" s="263">
        <f t="shared" si="47"/>
        <v>-374879.39</v>
      </c>
      <c r="AF39" s="263"/>
      <c r="AG39" s="263"/>
      <c r="AH39" s="263"/>
      <c r="AI39" s="263"/>
      <c r="AJ39" s="692">
        <v>0</v>
      </c>
      <c r="AK39" s="693"/>
      <c r="AL39" s="693" t="s">
        <v>1304</v>
      </c>
      <c r="AM39" s="120">
        <v>0</v>
      </c>
      <c r="AN39" s="120">
        <v>0</v>
      </c>
      <c r="AO39" s="120" t="s">
        <v>53</v>
      </c>
      <c r="AP39" s="120" t="s">
        <v>53</v>
      </c>
      <c r="AQ39" s="120" t="s">
        <v>53</v>
      </c>
      <c r="AR39" s="120" t="s">
        <v>54</v>
      </c>
      <c r="AS39" s="120"/>
      <c r="AT39" s="120"/>
      <c r="AU39" s="120"/>
      <c r="AV39" s="120"/>
      <c r="AW39" s="120"/>
      <c r="AX39" s="120"/>
      <c r="AY39" s="120"/>
      <c r="AZ39" s="120"/>
      <c r="BA39" s="120"/>
      <c r="BB39" s="120"/>
      <c r="BC39" s="120"/>
      <c r="BD39" s="120"/>
      <c r="BE39" s="120"/>
      <c r="BF39" s="695"/>
      <c r="BG39" s="120"/>
      <c r="BH39" s="120"/>
      <c r="BI39" s="120"/>
      <c r="BJ39" s="120"/>
      <c r="BK39" s="120"/>
      <c r="BL39" s="120"/>
      <c r="BM39" s="120"/>
      <c r="BN39" s="120"/>
      <c r="BO39" s="120"/>
      <c r="BP39" s="120"/>
      <c r="BQ39" s="120"/>
      <c r="BR39" s="120"/>
      <c r="BS39" s="695"/>
      <c r="BT39" s="681"/>
      <c r="BU39" s="681"/>
      <c r="BV39" s="681"/>
      <c r="BW39" s="681"/>
      <c r="BX39" s="681"/>
      <c r="BY39" s="681"/>
      <c r="BZ39" s="681"/>
      <c r="CA39" s="681"/>
      <c r="CB39" s="681"/>
      <c r="CC39" s="681"/>
      <c r="CD39" s="681"/>
      <c r="CE39" s="681"/>
      <c r="CF39" s="695"/>
      <c r="CG39" s="681"/>
      <c r="CH39" s="681"/>
      <c r="CI39" s="681"/>
      <c r="CJ39" s="681"/>
      <c r="CK39" s="681">
        <v>374879.39</v>
      </c>
      <c r="CL39" s="681"/>
      <c r="CM39" s="681"/>
      <c r="CN39" s="681"/>
      <c r="CO39" s="681"/>
      <c r="CP39" s="681"/>
      <c r="CQ39" s="681"/>
      <c r="CR39" s="681"/>
      <c r="CS39" s="719">
        <f t="shared" si="48"/>
        <v>374879.39</v>
      </c>
      <c r="CT39" s="681"/>
      <c r="CU39" s="681"/>
      <c r="CV39" s="681"/>
      <c r="CW39" s="681"/>
      <c r="CX39" s="681"/>
      <c r="CY39" s="681"/>
      <c r="CZ39" s="681"/>
      <c r="DA39" s="681"/>
      <c r="DB39" s="681"/>
      <c r="DC39" s="681"/>
      <c r="DD39" s="681"/>
      <c r="DE39" s="681"/>
      <c r="DF39" s="681">
        <f t="shared" si="49"/>
        <v>0</v>
      </c>
      <c r="DG39" s="120"/>
      <c r="DH39" s="120"/>
      <c r="DI39" s="120"/>
      <c r="DJ39" s="120"/>
      <c r="DK39" s="120"/>
      <c r="DL39" s="120"/>
      <c r="DM39" s="120"/>
      <c r="DN39" s="120"/>
      <c r="DO39" s="120"/>
      <c r="DP39" s="120"/>
      <c r="DQ39" s="120"/>
      <c r="DR39" s="120"/>
      <c r="DS39" s="1">
        <f t="shared" si="18"/>
        <v>0</v>
      </c>
    </row>
    <row r="40" spans="1:123" s="696" customFormat="1" ht="24" x14ac:dyDescent="0.2">
      <c r="A40" s="759"/>
      <c r="B40" s="767" t="s">
        <v>107</v>
      </c>
      <c r="C40" s="768" t="s">
        <v>1493</v>
      </c>
      <c r="D40" s="120" t="s">
        <v>303</v>
      </c>
      <c r="E40" s="120" t="s">
        <v>275</v>
      </c>
      <c r="F40" s="686" t="s">
        <v>49</v>
      </c>
      <c r="G40" s="120" t="s">
        <v>284</v>
      </c>
      <c r="H40" s="687" t="s">
        <v>61</v>
      </c>
      <c r="I40" s="720">
        <v>43650</v>
      </c>
      <c r="J40" s="720">
        <v>44746</v>
      </c>
      <c r="K40" s="721" t="s">
        <v>276</v>
      </c>
      <c r="L40" s="689"/>
      <c r="M40" s="263">
        <f t="shared" si="32"/>
        <v>0</v>
      </c>
      <c r="N40" s="263">
        <f t="shared" si="33"/>
        <v>0</v>
      </c>
      <c r="O40" s="263" t="e">
        <f t="shared" si="34"/>
        <v>#VALUE!</v>
      </c>
      <c r="P40" s="263">
        <f t="shared" si="35"/>
        <v>0</v>
      </c>
      <c r="Q40" s="263">
        <f t="shared" si="36"/>
        <v>0</v>
      </c>
      <c r="R40" s="263">
        <f t="shared" si="37"/>
        <v>0</v>
      </c>
      <c r="S40" s="263" t="e">
        <f t="shared" si="38"/>
        <v>#VALUE!</v>
      </c>
      <c r="T40" s="263">
        <f t="shared" si="39"/>
        <v>0</v>
      </c>
      <c r="U40" s="263">
        <f t="shared" si="40"/>
        <v>118855.91549999999</v>
      </c>
      <c r="V40" s="690">
        <f t="shared" si="50"/>
        <v>118855.91549999999</v>
      </c>
      <c r="W40" s="263" t="e">
        <f t="shared" si="41"/>
        <v>#VALUE!</v>
      </c>
      <c r="X40" s="263">
        <f t="shared" si="42"/>
        <v>118855.91549999999</v>
      </c>
      <c r="Y40" s="718">
        <f t="shared" si="51"/>
        <v>257498.06199999998</v>
      </c>
      <c r="Z40" s="690">
        <f t="shared" si="52"/>
        <v>376353.97749999998</v>
      </c>
      <c r="AA40" s="263" t="e">
        <f t="shared" si="43"/>
        <v>#VALUE!</v>
      </c>
      <c r="AB40" s="263">
        <f t="shared" si="44"/>
        <v>376353.97749999998</v>
      </c>
      <c r="AC40" s="263">
        <f t="shared" si="45"/>
        <v>0</v>
      </c>
      <c r="AD40" s="263">
        <f t="shared" si="46"/>
        <v>376353.97749999998</v>
      </c>
      <c r="AE40" s="263" t="e">
        <f t="shared" si="47"/>
        <v>#VALUE!</v>
      </c>
      <c r="AF40" s="263"/>
      <c r="AG40" s="263"/>
      <c r="AH40" s="263"/>
      <c r="AI40" s="263"/>
      <c r="AJ40" s="692">
        <v>0</v>
      </c>
      <c r="AK40" s="687">
        <v>36</v>
      </c>
      <c r="AL40" s="722" t="s">
        <v>1304</v>
      </c>
      <c r="AM40" s="685">
        <v>0</v>
      </c>
      <c r="AN40" s="120">
        <v>0</v>
      </c>
      <c r="AO40" s="120" t="s">
        <v>53</v>
      </c>
      <c r="AP40" s="120" t="s">
        <v>53</v>
      </c>
      <c r="AQ40" s="120" t="s">
        <v>53</v>
      </c>
      <c r="AR40" s="120" t="s">
        <v>54</v>
      </c>
      <c r="AS40" s="694" t="s">
        <v>70</v>
      </c>
      <c r="AT40" s="120"/>
      <c r="AU40" s="120"/>
      <c r="AV40" s="120"/>
      <c r="AW40" s="120"/>
      <c r="AX40" s="120"/>
      <c r="AY40" s="120"/>
      <c r="AZ40" s="120"/>
      <c r="BA40" s="120"/>
      <c r="BB40" s="120"/>
      <c r="BC40" s="120"/>
      <c r="BD40" s="120"/>
      <c r="BE40" s="120"/>
      <c r="BF40" s="695"/>
      <c r="BG40" s="120"/>
      <c r="BH40" s="120"/>
      <c r="BI40" s="120"/>
      <c r="BJ40" s="120"/>
      <c r="BK40" s="120"/>
      <c r="BL40" s="120"/>
      <c r="BM40" s="120"/>
      <c r="BN40" s="120"/>
      <c r="BO40" s="120"/>
      <c r="BP40" s="120"/>
      <c r="BQ40" s="120"/>
      <c r="BR40" s="120"/>
      <c r="BS40" s="695"/>
      <c r="BT40" s="681">
        <v>118855.91549999999</v>
      </c>
      <c r="BU40" s="681"/>
      <c r="BV40" s="681"/>
      <c r="BW40" s="681"/>
      <c r="BX40" s="681"/>
      <c r="BY40" s="681"/>
      <c r="BZ40" s="681"/>
      <c r="CA40" s="681"/>
      <c r="CB40" s="681"/>
      <c r="CC40" s="681"/>
      <c r="CD40" s="681"/>
      <c r="CE40" s="681"/>
      <c r="CF40" s="723">
        <f>SUM(BT40:CE40)</f>
        <v>118855.91549999999</v>
      </c>
      <c r="CG40" s="724"/>
      <c r="CH40" s="724"/>
      <c r="CI40" s="724"/>
      <c r="CJ40" s="724"/>
      <c r="CK40" s="724"/>
      <c r="CL40" s="724"/>
      <c r="CM40" s="724"/>
      <c r="CN40" s="724">
        <v>232138.86</v>
      </c>
      <c r="CO40" s="724"/>
      <c r="CP40" s="724"/>
      <c r="CQ40" s="724"/>
      <c r="CR40" s="724">
        <v>25359.201999999997</v>
      </c>
      <c r="CS40" s="719">
        <f t="shared" si="48"/>
        <v>257498.06199999998</v>
      </c>
      <c r="CT40" s="681"/>
      <c r="CU40" s="681"/>
      <c r="CV40" s="681"/>
      <c r="CW40" s="681"/>
      <c r="CX40" s="681"/>
      <c r="CY40" s="681"/>
      <c r="CZ40" s="681"/>
      <c r="DA40" s="681"/>
      <c r="DB40" s="681"/>
      <c r="DC40" s="681"/>
      <c r="DD40" s="681"/>
      <c r="DE40" s="681"/>
      <c r="DF40" s="681">
        <f t="shared" si="49"/>
        <v>0</v>
      </c>
      <c r="DG40" s="120"/>
      <c r="DH40" s="120"/>
      <c r="DI40" s="120"/>
      <c r="DJ40" s="120"/>
      <c r="DK40" s="120"/>
      <c r="DL40" s="120"/>
      <c r="DM40" s="120"/>
      <c r="DN40" s="120"/>
      <c r="DO40" s="120"/>
      <c r="DP40" s="120"/>
      <c r="DQ40" s="120"/>
      <c r="DR40" s="120"/>
      <c r="DS40" s="1">
        <f t="shared" si="18"/>
        <v>0</v>
      </c>
    </row>
    <row r="41" spans="1:123" s="696" customFormat="1" ht="24" x14ac:dyDescent="0.2">
      <c r="A41" s="759"/>
      <c r="B41" s="767"/>
      <c r="C41" s="768"/>
      <c r="D41" s="120" t="s">
        <v>2036</v>
      </c>
      <c r="E41" s="717" t="s">
        <v>309</v>
      </c>
      <c r="F41" s="120" t="s">
        <v>49</v>
      </c>
      <c r="G41" s="120" t="s">
        <v>284</v>
      </c>
      <c r="H41" s="687" t="s">
        <v>61</v>
      </c>
      <c r="I41" s="120"/>
      <c r="J41" s="120"/>
      <c r="K41" s="688"/>
      <c r="L41" s="689"/>
      <c r="M41" s="263">
        <f t="shared" si="32"/>
        <v>0</v>
      </c>
      <c r="N41" s="263">
        <f t="shared" si="33"/>
        <v>0</v>
      </c>
      <c r="O41" s="263">
        <f t="shared" si="34"/>
        <v>0</v>
      </c>
      <c r="P41" s="263">
        <f t="shared" si="35"/>
        <v>0</v>
      </c>
      <c r="Q41" s="263">
        <f t="shared" si="36"/>
        <v>0</v>
      </c>
      <c r="R41" s="263">
        <f t="shared" si="37"/>
        <v>0</v>
      </c>
      <c r="S41" s="263">
        <f t="shared" si="38"/>
        <v>0</v>
      </c>
      <c r="T41" s="263">
        <f t="shared" si="39"/>
        <v>0</v>
      </c>
      <c r="U41" s="263">
        <f t="shared" si="40"/>
        <v>0</v>
      </c>
      <c r="V41" s="690">
        <f t="shared" si="50"/>
        <v>0</v>
      </c>
      <c r="W41" s="263">
        <f t="shared" si="41"/>
        <v>0</v>
      </c>
      <c r="X41" s="263">
        <f t="shared" si="42"/>
        <v>0</v>
      </c>
      <c r="Y41" s="718">
        <f t="shared" si="51"/>
        <v>1331158.7409999999</v>
      </c>
      <c r="Z41" s="249">
        <f t="shared" si="52"/>
        <v>1331158.7409999999</v>
      </c>
      <c r="AA41" s="263">
        <f t="shared" si="43"/>
        <v>-1331158.7409999999</v>
      </c>
      <c r="AB41" s="263">
        <f t="shared" si="44"/>
        <v>1331158.7409999999</v>
      </c>
      <c r="AC41" s="263">
        <f t="shared" si="45"/>
        <v>288831.09049999999</v>
      </c>
      <c r="AD41" s="263">
        <f t="shared" si="46"/>
        <v>1619989.8314999999</v>
      </c>
      <c r="AE41" s="263">
        <f t="shared" si="47"/>
        <v>-1619989.8314999999</v>
      </c>
      <c r="AF41" s="263"/>
      <c r="AG41" s="263"/>
      <c r="AH41" s="263"/>
      <c r="AI41" s="263"/>
      <c r="AJ41" s="692">
        <v>0</v>
      </c>
      <c r="AK41" s="687">
        <v>36</v>
      </c>
      <c r="AL41" s="693" t="s">
        <v>1304</v>
      </c>
      <c r="AM41" s="685">
        <v>0</v>
      </c>
      <c r="AN41" s="120">
        <v>0</v>
      </c>
      <c r="AO41" s="120" t="s">
        <v>53</v>
      </c>
      <c r="AP41" s="120" t="s">
        <v>53</v>
      </c>
      <c r="AQ41" s="120" t="s">
        <v>53</v>
      </c>
      <c r="AR41" s="120" t="s">
        <v>54</v>
      </c>
      <c r="AS41" s="694" t="s">
        <v>70</v>
      </c>
      <c r="AT41" s="120"/>
      <c r="AU41" s="120"/>
      <c r="AV41" s="120"/>
      <c r="AW41" s="120"/>
      <c r="AX41" s="120"/>
      <c r="AY41" s="120"/>
      <c r="AZ41" s="120"/>
      <c r="BA41" s="120"/>
      <c r="BB41" s="120"/>
      <c r="BC41" s="120"/>
      <c r="BD41" s="120"/>
      <c r="BE41" s="120"/>
      <c r="BF41" s="695"/>
      <c r="BG41" s="120"/>
      <c r="BH41" s="120"/>
      <c r="BI41" s="120"/>
      <c r="BJ41" s="120"/>
      <c r="BK41" s="120"/>
      <c r="BL41" s="120"/>
      <c r="BM41" s="120"/>
      <c r="BN41" s="120"/>
      <c r="BO41" s="120"/>
      <c r="BP41" s="120"/>
      <c r="BQ41" s="120"/>
      <c r="BR41" s="120"/>
      <c r="BS41" s="695"/>
      <c r="BT41" s="681"/>
      <c r="BU41" s="681"/>
      <c r="BV41" s="681"/>
      <c r="BW41" s="681"/>
      <c r="BX41" s="681"/>
      <c r="BY41" s="681"/>
      <c r="BZ41" s="681"/>
      <c r="CA41" s="681"/>
      <c r="CB41" s="681"/>
      <c r="CC41" s="681"/>
      <c r="CD41" s="681"/>
      <c r="CE41" s="681"/>
      <c r="CF41" s="695"/>
      <c r="CG41" s="681"/>
      <c r="CH41" s="681"/>
      <c r="CI41" s="681"/>
      <c r="CJ41" s="681"/>
      <c r="CK41" s="681"/>
      <c r="CL41" s="681"/>
      <c r="CM41" s="681"/>
      <c r="CN41" s="681"/>
      <c r="CO41" s="681">
        <v>238050</v>
      </c>
      <c r="CP41" s="681">
        <v>382408.74099999998</v>
      </c>
      <c r="CQ41" s="681" t="s">
        <v>1618</v>
      </c>
      <c r="CR41" s="681">
        <f>600300+110400</f>
        <v>710700</v>
      </c>
      <c r="CS41" s="719">
        <f t="shared" si="48"/>
        <v>1331158.7409999999</v>
      </c>
      <c r="CT41" s="681">
        <v>0</v>
      </c>
      <c r="CU41" s="681">
        <v>288831.09049999999</v>
      </c>
      <c r="CV41" s="681"/>
      <c r="CW41" s="681"/>
      <c r="CX41" s="681">
        <v>0</v>
      </c>
      <c r="CY41" s="681"/>
      <c r="CZ41" s="681"/>
      <c r="DA41" s="681"/>
      <c r="DB41" s="681"/>
      <c r="DC41" s="681"/>
      <c r="DD41" s="681"/>
      <c r="DE41" s="681"/>
      <c r="DF41" s="681">
        <f t="shared" si="49"/>
        <v>288831.09049999999</v>
      </c>
      <c r="DG41" s="120"/>
      <c r="DH41" s="120"/>
      <c r="DI41" s="120"/>
      <c r="DJ41" s="120">
        <v>179998.87</v>
      </c>
      <c r="DK41" s="120"/>
      <c r="DL41" s="120"/>
      <c r="DM41" s="120"/>
      <c r="DN41" s="120"/>
      <c r="DO41" s="120"/>
      <c r="DP41" s="120"/>
      <c r="DQ41" s="120"/>
      <c r="DR41" s="120"/>
      <c r="DS41" s="1">
        <f t="shared" si="18"/>
        <v>179998.87</v>
      </c>
    </row>
    <row r="42" spans="1:123" s="696" customFormat="1" ht="24" x14ac:dyDescent="0.2">
      <c r="A42" s="759" t="s">
        <v>1406</v>
      </c>
      <c r="B42" s="767" t="s">
        <v>107</v>
      </c>
      <c r="C42" s="768" t="s">
        <v>1405</v>
      </c>
      <c r="D42" s="120" t="s">
        <v>2035</v>
      </c>
      <c r="E42" s="717" t="s">
        <v>308</v>
      </c>
      <c r="F42" s="120" t="s">
        <v>49</v>
      </c>
      <c r="G42" s="120" t="s">
        <v>284</v>
      </c>
      <c r="H42" s="687" t="s">
        <v>61</v>
      </c>
      <c r="I42" s="120"/>
      <c r="J42" s="120"/>
      <c r="K42" s="688"/>
      <c r="L42" s="689"/>
      <c r="M42" s="263">
        <f t="shared" si="32"/>
        <v>0</v>
      </c>
      <c r="N42" s="263">
        <f t="shared" si="33"/>
        <v>0</v>
      </c>
      <c r="O42" s="263">
        <f t="shared" si="34"/>
        <v>0</v>
      </c>
      <c r="P42" s="263">
        <f t="shared" si="35"/>
        <v>0</v>
      </c>
      <c r="Q42" s="263">
        <f t="shared" si="36"/>
        <v>0</v>
      </c>
      <c r="R42" s="263">
        <f t="shared" si="37"/>
        <v>0</v>
      </c>
      <c r="S42" s="263">
        <f t="shared" si="38"/>
        <v>0</v>
      </c>
      <c r="T42" s="263">
        <f t="shared" si="39"/>
        <v>0</v>
      </c>
      <c r="U42" s="263">
        <f t="shared" si="40"/>
        <v>0</v>
      </c>
      <c r="V42" s="690">
        <f t="shared" si="50"/>
        <v>0</v>
      </c>
      <c r="W42" s="263">
        <f t="shared" si="41"/>
        <v>0</v>
      </c>
      <c r="X42" s="263">
        <f t="shared" si="42"/>
        <v>0</v>
      </c>
      <c r="Y42" s="718">
        <f t="shared" si="51"/>
        <v>2854178.764</v>
      </c>
      <c r="Z42" s="249">
        <f t="shared" si="52"/>
        <v>2854178.764</v>
      </c>
      <c r="AA42" s="263">
        <f t="shared" si="43"/>
        <v>-2854178.764</v>
      </c>
      <c r="AB42" s="263">
        <f t="shared" si="44"/>
        <v>2854178.764</v>
      </c>
      <c r="AC42" s="263">
        <f t="shared" si="45"/>
        <v>903356.17</v>
      </c>
      <c r="AD42" s="263">
        <f t="shared" si="46"/>
        <v>3757534.9339999999</v>
      </c>
      <c r="AE42" s="263">
        <f t="shared" si="47"/>
        <v>-3757534.9339999999</v>
      </c>
      <c r="AF42" s="263"/>
      <c r="AG42" s="263"/>
      <c r="AH42" s="263"/>
      <c r="AI42" s="263"/>
      <c r="AJ42" s="692">
        <v>0</v>
      </c>
      <c r="AK42" s="687">
        <v>36</v>
      </c>
      <c r="AL42" s="693" t="s">
        <v>1304</v>
      </c>
      <c r="AM42" s="685">
        <v>0</v>
      </c>
      <c r="AN42" s="120">
        <v>0</v>
      </c>
      <c r="AO42" s="120" t="s">
        <v>53</v>
      </c>
      <c r="AP42" s="120" t="s">
        <v>53</v>
      </c>
      <c r="AQ42" s="120" t="s">
        <v>53</v>
      </c>
      <c r="AR42" s="120" t="s">
        <v>54</v>
      </c>
      <c r="AS42" s="694" t="s">
        <v>70</v>
      </c>
      <c r="AT42" s="120"/>
      <c r="AU42" s="120"/>
      <c r="AV42" s="120"/>
      <c r="AW42" s="120"/>
      <c r="AX42" s="120"/>
      <c r="AY42" s="120"/>
      <c r="AZ42" s="120"/>
      <c r="BA42" s="120"/>
      <c r="BB42" s="120"/>
      <c r="BC42" s="120"/>
      <c r="BD42" s="120"/>
      <c r="BE42" s="120"/>
      <c r="BF42" s="695"/>
      <c r="BG42" s="120"/>
      <c r="BH42" s="120"/>
      <c r="BI42" s="120"/>
      <c r="BJ42" s="120"/>
      <c r="BK42" s="120"/>
      <c r="BL42" s="120"/>
      <c r="BM42" s="120"/>
      <c r="BN42" s="120"/>
      <c r="BO42" s="120"/>
      <c r="BP42" s="120"/>
      <c r="BQ42" s="120"/>
      <c r="BR42" s="120"/>
      <c r="BS42" s="695"/>
      <c r="BT42" s="681"/>
      <c r="BU42" s="681"/>
      <c r="BV42" s="681"/>
      <c r="BW42" s="681"/>
      <c r="BX42" s="681"/>
      <c r="BY42" s="681"/>
      <c r="BZ42" s="681"/>
      <c r="CA42" s="681"/>
      <c r="CB42" s="681"/>
      <c r="CC42" s="681"/>
      <c r="CD42" s="681"/>
      <c r="CE42" s="681"/>
      <c r="CF42" s="695"/>
      <c r="CG42" s="681"/>
      <c r="CH42" s="681"/>
      <c r="CI42" s="681"/>
      <c r="CJ42" s="681"/>
      <c r="CK42" s="681"/>
      <c r="CL42" s="681"/>
      <c r="CM42" s="681"/>
      <c r="CN42" s="681"/>
      <c r="CO42" s="681"/>
      <c r="CP42" s="681"/>
      <c r="CQ42" s="681">
        <v>985121.78599999996</v>
      </c>
      <c r="CR42" s="681">
        <f>549557.998+1319498.98</f>
        <v>1869056.9780000001</v>
      </c>
      <c r="CS42" s="719">
        <f t="shared" si="48"/>
        <v>2854178.764</v>
      </c>
      <c r="CT42" s="681">
        <v>0</v>
      </c>
      <c r="CU42" s="681">
        <v>0</v>
      </c>
      <c r="CV42" s="681">
        <v>856751.64</v>
      </c>
      <c r="CW42" s="681"/>
      <c r="CX42" s="681"/>
      <c r="CY42" s="681"/>
      <c r="CZ42" s="681">
        <v>46604.53</v>
      </c>
      <c r="DA42" s="681"/>
      <c r="DB42" s="681"/>
      <c r="DC42" s="681"/>
      <c r="DD42" s="681"/>
      <c r="DE42" s="681"/>
      <c r="DF42" s="681">
        <f t="shared" si="49"/>
        <v>903356.17</v>
      </c>
      <c r="DG42" s="120"/>
      <c r="DH42" s="120"/>
      <c r="DI42" s="120"/>
      <c r="DJ42" s="120"/>
      <c r="DK42" s="120"/>
      <c r="DL42" s="120"/>
      <c r="DM42" s="120"/>
      <c r="DN42" s="120"/>
      <c r="DO42" s="120"/>
      <c r="DP42" s="120"/>
      <c r="DQ42" s="120"/>
      <c r="DR42" s="120">
        <v>178107.34</v>
      </c>
      <c r="DS42" s="1">
        <f t="shared" si="18"/>
        <v>178107.34</v>
      </c>
    </row>
    <row r="43" spans="1:123" s="696" customFormat="1" ht="24" x14ac:dyDescent="0.2">
      <c r="A43" s="759"/>
      <c r="B43" s="767"/>
      <c r="C43" s="768"/>
      <c r="D43" s="120" t="s">
        <v>2034</v>
      </c>
      <c r="E43" s="120" t="s">
        <v>1428</v>
      </c>
      <c r="F43" s="120" t="s">
        <v>49</v>
      </c>
      <c r="G43" s="120" t="s">
        <v>284</v>
      </c>
      <c r="H43" s="687" t="s">
        <v>61</v>
      </c>
      <c r="I43" s="120"/>
      <c r="J43" s="120"/>
      <c r="K43" s="688"/>
      <c r="L43" s="689"/>
      <c r="M43" s="263">
        <f t="shared" si="32"/>
        <v>0</v>
      </c>
      <c r="N43" s="263">
        <f t="shared" si="33"/>
        <v>0</v>
      </c>
      <c r="O43" s="263">
        <f t="shared" si="34"/>
        <v>0</v>
      </c>
      <c r="P43" s="263">
        <f t="shared" si="35"/>
        <v>0</v>
      </c>
      <c r="Q43" s="263">
        <f t="shared" si="36"/>
        <v>0</v>
      </c>
      <c r="R43" s="263">
        <f t="shared" si="37"/>
        <v>0</v>
      </c>
      <c r="S43" s="263">
        <f t="shared" si="38"/>
        <v>0</v>
      </c>
      <c r="T43" s="263">
        <f t="shared" si="39"/>
        <v>0</v>
      </c>
      <c r="U43" s="263">
        <f t="shared" si="40"/>
        <v>0</v>
      </c>
      <c r="V43" s="690">
        <f t="shared" si="50"/>
        <v>0</v>
      </c>
      <c r="W43" s="263">
        <f t="shared" si="41"/>
        <v>0</v>
      </c>
      <c r="X43" s="263">
        <f t="shared" si="42"/>
        <v>0</v>
      </c>
      <c r="Y43" s="249">
        <f t="shared" si="51"/>
        <v>638780.31000000006</v>
      </c>
      <c r="Z43" s="249">
        <f t="shared" si="52"/>
        <v>638780.31000000006</v>
      </c>
      <c r="AA43" s="263">
        <f t="shared" si="43"/>
        <v>-638780.31000000006</v>
      </c>
      <c r="AB43" s="263">
        <f t="shared" si="44"/>
        <v>638780.31000000006</v>
      </c>
      <c r="AC43" s="263">
        <f t="shared" si="45"/>
        <v>67106.61</v>
      </c>
      <c r="AD43" s="263">
        <f t="shared" si="46"/>
        <v>705886.92</v>
      </c>
      <c r="AE43" s="263">
        <f t="shared" si="47"/>
        <v>-705886.92</v>
      </c>
      <c r="AF43" s="263"/>
      <c r="AG43" s="263"/>
      <c r="AH43" s="263"/>
      <c r="AI43" s="263"/>
      <c r="AJ43" s="692">
        <v>0</v>
      </c>
      <c r="AK43" s="687">
        <v>36</v>
      </c>
      <c r="AL43" s="693" t="s">
        <v>1304</v>
      </c>
      <c r="AM43" s="685">
        <v>0</v>
      </c>
      <c r="AN43" s="120">
        <v>0</v>
      </c>
      <c r="AO43" s="120" t="s">
        <v>53</v>
      </c>
      <c r="AP43" s="120" t="s">
        <v>53</v>
      </c>
      <c r="AQ43" s="120" t="s">
        <v>53</v>
      </c>
      <c r="AR43" s="120" t="s">
        <v>54</v>
      </c>
      <c r="AS43" s="694" t="s">
        <v>70</v>
      </c>
      <c r="AT43" s="120"/>
      <c r="AU43" s="120"/>
      <c r="AV43" s="120"/>
      <c r="AW43" s="120"/>
      <c r="AX43" s="120"/>
      <c r="AY43" s="120"/>
      <c r="AZ43" s="120"/>
      <c r="BA43" s="120"/>
      <c r="BB43" s="120"/>
      <c r="BC43" s="120"/>
      <c r="BD43" s="120"/>
      <c r="BE43" s="120"/>
      <c r="BF43" s="681"/>
      <c r="BG43" s="120"/>
      <c r="BH43" s="120"/>
      <c r="BI43" s="120"/>
      <c r="BJ43" s="120"/>
      <c r="BK43" s="120"/>
      <c r="BL43" s="120"/>
      <c r="BM43" s="120"/>
      <c r="BN43" s="120"/>
      <c r="BO43" s="120"/>
      <c r="BP43" s="120"/>
      <c r="BQ43" s="120"/>
      <c r="BR43" s="120"/>
      <c r="BS43" s="695"/>
      <c r="BT43" s="681"/>
      <c r="BU43" s="681"/>
      <c r="BV43" s="681"/>
      <c r="BW43" s="681"/>
      <c r="BX43" s="681"/>
      <c r="BY43" s="681"/>
      <c r="BZ43" s="681"/>
      <c r="CA43" s="681"/>
      <c r="CB43" s="681"/>
      <c r="CC43" s="681"/>
      <c r="CD43" s="681"/>
      <c r="CE43" s="681"/>
      <c r="CF43" s="695"/>
      <c r="CG43" s="681"/>
      <c r="CH43" s="681"/>
      <c r="CI43" s="681"/>
      <c r="CJ43" s="681"/>
      <c r="CK43" s="681"/>
      <c r="CL43" s="681"/>
      <c r="CM43" s="681"/>
      <c r="CN43" s="681">
        <v>551307.74</v>
      </c>
      <c r="CO43" s="681"/>
      <c r="CP43" s="681"/>
      <c r="CQ43" s="681"/>
      <c r="CR43" s="681">
        <v>87472.57</v>
      </c>
      <c r="CS43" s="719">
        <f t="shared" si="48"/>
        <v>638780.31000000006</v>
      </c>
      <c r="CT43" s="681"/>
      <c r="CU43" s="681"/>
      <c r="CV43" s="681"/>
      <c r="CW43" s="681"/>
      <c r="CX43" s="681"/>
      <c r="CY43" s="681"/>
      <c r="CZ43" s="681">
        <v>67106.61</v>
      </c>
      <c r="DA43" s="681"/>
      <c r="DB43" s="681"/>
      <c r="DC43" s="681"/>
      <c r="DD43" s="681"/>
      <c r="DE43" s="681"/>
      <c r="DF43" s="681">
        <f t="shared" si="49"/>
        <v>67106.61</v>
      </c>
      <c r="DG43" s="120"/>
      <c r="DH43" s="120"/>
      <c r="DI43" s="120"/>
      <c r="DJ43" s="120"/>
      <c r="DK43" s="120"/>
      <c r="DL43" s="120"/>
      <c r="DM43" s="120"/>
      <c r="DN43" s="120"/>
      <c r="DO43" s="120"/>
      <c r="DP43" s="120"/>
      <c r="DQ43" s="120"/>
      <c r="DR43" s="120"/>
      <c r="DS43" s="1">
        <f t="shared" si="18"/>
        <v>0</v>
      </c>
    </row>
    <row r="44" spans="1:123" s="624" customFormat="1" ht="24" x14ac:dyDescent="0.2">
      <c r="A44" s="469" t="s">
        <v>1423</v>
      </c>
      <c r="B44" s="661" t="s">
        <v>107</v>
      </c>
      <c r="C44" s="658" t="s">
        <v>1413</v>
      </c>
      <c r="D44" s="469" t="s">
        <v>1414</v>
      </c>
      <c r="E44" s="469" t="s">
        <v>200</v>
      </c>
      <c r="F44" s="469" t="s">
        <v>49</v>
      </c>
      <c r="G44" s="469" t="s">
        <v>284</v>
      </c>
      <c r="H44" s="469" t="s">
        <v>363</v>
      </c>
      <c r="I44" s="625">
        <v>45045</v>
      </c>
      <c r="J44" s="625">
        <v>46116</v>
      </c>
      <c r="K44" s="626">
        <v>9500000</v>
      </c>
      <c r="L44" s="626"/>
      <c r="M44" s="612">
        <f t="shared" si="32"/>
        <v>0</v>
      </c>
      <c r="N44" s="612">
        <f t="shared" si="33"/>
        <v>0</v>
      </c>
      <c r="O44" s="612">
        <f t="shared" si="34"/>
        <v>9500000</v>
      </c>
      <c r="P44" s="612">
        <f t="shared" si="35"/>
        <v>0</v>
      </c>
      <c r="Q44" s="612">
        <f t="shared" si="36"/>
        <v>0</v>
      </c>
      <c r="R44" s="612">
        <f t="shared" si="37"/>
        <v>0</v>
      </c>
      <c r="S44" s="612">
        <f t="shared" si="38"/>
        <v>9500000</v>
      </c>
      <c r="T44" s="612">
        <f t="shared" si="39"/>
        <v>0</v>
      </c>
      <c r="U44" s="612">
        <f t="shared" si="40"/>
        <v>0</v>
      </c>
      <c r="V44" s="676">
        <f t="shared" si="50"/>
        <v>0</v>
      </c>
      <c r="W44" s="612">
        <f t="shared" si="41"/>
        <v>9500000</v>
      </c>
      <c r="X44" s="612">
        <f t="shared" si="42"/>
        <v>0</v>
      </c>
      <c r="Y44" s="677">
        <f t="shared" si="51"/>
        <v>3422484.5999999996</v>
      </c>
      <c r="Z44" s="678">
        <f t="shared" si="52"/>
        <v>3422484.5999999996</v>
      </c>
      <c r="AA44" s="612">
        <f t="shared" si="43"/>
        <v>6077515.4000000004</v>
      </c>
      <c r="AB44" s="612">
        <f t="shared" si="44"/>
        <v>3422484.5999999996</v>
      </c>
      <c r="AC44" s="612">
        <f t="shared" si="45"/>
        <v>3533797.99</v>
      </c>
      <c r="AD44" s="612">
        <f t="shared" si="46"/>
        <v>6956282.5899999999</v>
      </c>
      <c r="AE44" s="612">
        <f>K44-AD44</f>
        <v>2543717.41</v>
      </c>
      <c r="AF44" s="612"/>
      <c r="AG44" s="612"/>
      <c r="AH44" s="612"/>
      <c r="AI44" s="612"/>
      <c r="AJ44" s="679">
        <v>0</v>
      </c>
      <c r="AK44" s="617">
        <v>36</v>
      </c>
      <c r="AL44" s="617" t="s">
        <v>1304</v>
      </c>
      <c r="AM44" s="660">
        <v>0</v>
      </c>
      <c r="AN44" s="469">
        <v>0</v>
      </c>
      <c r="AO44" s="469" t="s">
        <v>53</v>
      </c>
      <c r="AP44" s="469" t="s">
        <v>53</v>
      </c>
      <c r="AQ44" s="469" t="s">
        <v>53</v>
      </c>
      <c r="AR44" s="469" t="s">
        <v>54</v>
      </c>
      <c r="AS44" s="654" t="s">
        <v>70</v>
      </c>
      <c r="AT44" s="618"/>
      <c r="AU44" s="618"/>
      <c r="AV44" s="618"/>
      <c r="AW44" s="618"/>
      <c r="AX44" s="618"/>
      <c r="AY44" s="618"/>
      <c r="AZ44" s="618"/>
      <c r="BA44" s="618"/>
      <c r="BB44" s="620"/>
      <c r="BC44" s="618"/>
      <c r="BD44" s="618"/>
      <c r="BE44" s="618"/>
      <c r="BF44" s="618"/>
      <c r="BG44" s="618"/>
      <c r="BH44" s="618"/>
      <c r="BI44" s="618"/>
      <c r="BJ44" s="618"/>
      <c r="BK44" s="618"/>
      <c r="BL44" s="618"/>
      <c r="BM44" s="618"/>
      <c r="BN44" s="618"/>
      <c r="BO44" s="634"/>
      <c r="BP44" s="618"/>
      <c r="BQ44" s="618"/>
      <c r="BR44" s="618"/>
      <c r="BS44" s="618"/>
      <c r="BT44" s="618"/>
      <c r="BU44" s="618"/>
      <c r="BV44" s="618"/>
      <c r="BW44" s="618"/>
      <c r="BX44" s="618"/>
      <c r="BY44" s="618"/>
      <c r="BZ44" s="618"/>
      <c r="CA44" s="618"/>
      <c r="CB44" s="618"/>
      <c r="CC44" s="469"/>
      <c r="CD44" s="469"/>
      <c r="CE44" s="469"/>
      <c r="CF44" s="469"/>
      <c r="CG44" s="469"/>
      <c r="CH44" s="469"/>
      <c r="CI44" s="469"/>
      <c r="CJ44" s="469"/>
      <c r="CK44" s="469"/>
      <c r="CL44" s="469"/>
      <c r="CM44" s="469"/>
      <c r="CN44" s="547"/>
      <c r="CO44" s="469"/>
      <c r="CP44" s="547"/>
      <c r="CQ44" s="547">
        <v>2471747.5099999998</v>
      </c>
      <c r="CR44" s="547">
        <v>950737.09</v>
      </c>
      <c r="CS44" s="547">
        <f t="shared" si="48"/>
        <v>3422484.5999999996</v>
      </c>
      <c r="CT44" s="547">
        <v>701656.7</v>
      </c>
      <c r="CU44" s="547">
        <v>0</v>
      </c>
      <c r="CV44" s="547">
        <v>1505081.92</v>
      </c>
      <c r="CW44" s="547">
        <v>0</v>
      </c>
      <c r="CX44" s="547">
        <v>600958.28</v>
      </c>
      <c r="CY44" s="547"/>
      <c r="CZ44" s="547"/>
      <c r="DA44" s="547">
        <v>322457.69</v>
      </c>
      <c r="DB44" s="547">
        <v>403643.4</v>
      </c>
      <c r="DC44" s="547"/>
      <c r="DD44" s="547"/>
      <c r="DE44" s="547"/>
      <c r="DF44" s="547">
        <f t="shared" si="49"/>
        <v>3533797.99</v>
      </c>
      <c r="DG44" s="547"/>
      <c r="DH44" s="469"/>
      <c r="DI44" s="469"/>
      <c r="DJ44" s="469"/>
      <c r="DK44" s="469"/>
      <c r="DL44" s="469"/>
      <c r="DM44" s="469"/>
      <c r="DN44" s="469">
        <f>93357.26+950000</f>
        <v>1043357.26</v>
      </c>
      <c r="DO44" s="469"/>
      <c r="DP44" s="469"/>
      <c r="DQ44" s="469"/>
      <c r="DR44" s="469"/>
      <c r="DS44" s="1">
        <f t="shared" si="18"/>
        <v>1043357.26</v>
      </c>
    </row>
    <row r="45" spans="1:123" s="624" customFormat="1" ht="24" x14ac:dyDescent="0.2">
      <c r="A45" s="469" t="s">
        <v>1424</v>
      </c>
      <c r="B45" s="661" t="s">
        <v>107</v>
      </c>
      <c r="C45" s="658" t="s">
        <v>1415</v>
      </c>
      <c r="D45" s="469" t="s">
        <v>219</v>
      </c>
      <c r="E45" s="469" t="s">
        <v>220</v>
      </c>
      <c r="F45" s="469" t="s">
        <v>49</v>
      </c>
      <c r="G45" s="469" t="s">
        <v>284</v>
      </c>
      <c r="H45" s="469" t="s">
        <v>363</v>
      </c>
      <c r="I45" s="625">
        <v>45046</v>
      </c>
      <c r="J45" s="625">
        <v>46117</v>
      </c>
      <c r="K45" s="626">
        <v>23450000</v>
      </c>
      <c r="L45" s="626"/>
      <c r="M45" s="612">
        <f t="shared" si="32"/>
        <v>0</v>
      </c>
      <c r="N45" s="612">
        <f t="shared" si="33"/>
        <v>0</v>
      </c>
      <c r="O45" s="612">
        <f t="shared" si="34"/>
        <v>23450000</v>
      </c>
      <c r="P45" s="612">
        <f t="shared" si="35"/>
        <v>0</v>
      </c>
      <c r="Q45" s="612">
        <f t="shared" si="36"/>
        <v>0</v>
      </c>
      <c r="R45" s="612">
        <f t="shared" si="37"/>
        <v>0</v>
      </c>
      <c r="S45" s="612">
        <f t="shared" si="38"/>
        <v>23450000</v>
      </c>
      <c r="T45" s="612">
        <f t="shared" si="39"/>
        <v>0</v>
      </c>
      <c r="U45" s="612">
        <f t="shared" si="40"/>
        <v>0</v>
      </c>
      <c r="V45" s="676">
        <f t="shared" si="50"/>
        <v>0</v>
      </c>
      <c r="W45" s="612">
        <f t="shared" si="41"/>
        <v>23450000</v>
      </c>
      <c r="X45" s="612">
        <f t="shared" si="42"/>
        <v>0</v>
      </c>
      <c r="Y45" s="677">
        <f t="shared" si="51"/>
        <v>684964</v>
      </c>
      <c r="Z45" s="678">
        <f t="shared" si="52"/>
        <v>684964</v>
      </c>
      <c r="AA45" s="612">
        <f t="shared" si="43"/>
        <v>22765036</v>
      </c>
      <c r="AB45" s="612">
        <f t="shared" si="44"/>
        <v>684964</v>
      </c>
      <c r="AC45" s="612">
        <f t="shared" si="45"/>
        <v>11954560.876</v>
      </c>
      <c r="AD45" s="612">
        <f t="shared" si="46"/>
        <v>12639524.876</v>
      </c>
      <c r="AE45" s="612">
        <f>K45-AD45</f>
        <v>10810475.124</v>
      </c>
      <c r="AF45" s="612"/>
      <c r="AG45" s="612"/>
      <c r="AH45" s="612"/>
      <c r="AI45" s="612"/>
      <c r="AJ45" s="679">
        <v>0</v>
      </c>
      <c r="AK45" s="617">
        <v>36</v>
      </c>
      <c r="AL45" s="617" t="s">
        <v>1304</v>
      </c>
      <c r="AM45" s="660">
        <v>0</v>
      </c>
      <c r="AN45" s="469">
        <v>0</v>
      </c>
      <c r="AO45" s="469" t="s">
        <v>53</v>
      </c>
      <c r="AP45" s="469" t="s">
        <v>53</v>
      </c>
      <c r="AQ45" s="469" t="s">
        <v>53</v>
      </c>
      <c r="AR45" s="469" t="s">
        <v>54</v>
      </c>
      <c r="AS45" s="654" t="s">
        <v>70</v>
      </c>
      <c r="AT45" s="618"/>
      <c r="AU45" s="618"/>
      <c r="AV45" s="618"/>
      <c r="AW45" s="618"/>
      <c r="AX45" s="618"/>
      <c r="AY45" s="618"/>
      <c r="AZ45" s="618"/>
      <c r="BA45" s="618"/>
      <c r="BB45" s="620"/>
      <c r="BC45" s="618"/>
      <c r="BD45" s="618"/>
      <c r="BE45" s="618"/>
      <c r="BF45" s="618"/>
      <c r="BG45" s="618"/>
      <c r="BH45" s="618"/>
      <c r="BI45" s="618"/>
      <c r="BJ45" s="618"/>
      <c r="BK45" s="618"/>
      <c r="BL45" s="618"/>
      <c r="BM45" s="618"/>
      <c r="BN45" s="618"/>
      <c r="BO45" s="634"/>
      <c r="BP45" s="618"/>
      <c r="BQ45" s="618"/>
      <c r="BR45" s="618"/>
      <c r="BS45" s="618"/>
      <c r="BT45" s="618"/>
      <c r="BU45" s="618"/>
      <c r="BV45" s="618"/>
      <c r="BW45" s="618"/>
      <c r="BX45" s="618"/>
      <c r="BY45" s="618"/>
      <c r="BZ45" s="618"/>
      <c r="CA45" s="618"/>
      <c r="CB45" s="618"/>
      <c r="CC45" s="469"/>
      <c r="CD45" s="469"/>
      <c r="CE45" s="469"/>
      <c r="CF45" s="469"/>
      <c r="CG45" s="469"/>
      <c r="CH45" s="469"/>
      <c r="CI45" s="469"/>
      <c r="CJ45" s="469"/>
      <c r="CK45" s="469"/>
      <c r="CL45" s="469"/>
      <c r="CM45" s="469"/>
      <c r="CN45" s="469"/>
      <c r="CO45" s="469"/>
      <c r="CP45" s="547"/>
      <c r="CQ45" s="547"/>
      <c r="CR45" s="547">
        <v>684964</v>
      </c>
      <c r="CS45" s="547">
        <f t="shared" si="48"/>
        <v>684964</v>
      </c>
      <c r="CT45" s="547">
        <v>0</v>
      </c>
      <c r="CU45" s="547"/>
      <c r="CV45" s="547"/>
      <c r="CW45" s="547"/>
      <c r="CX45" s="547"/>
      <c r="CY45" s="547">
        <v>0</v>
      </c>
      <c r="CZ45" s="547"/>
      <c r="DA45" s="547"/>
      <c r="DB45" s="547"/>
      <c r="DC45" s="547">
        <v>621000</v>
      </c>
      <c r="DD45" s="547"/>
      <c r="DE45" s="547">
        <f>3761738.7225+3126122.1535+4445700</f>
        <v>11333560.876</v>
      </c>
      <c r="DF45" s="547">
        <f>SUM(CT45:DE45)</f>
        <v>11954560.876</v>
      </c>
      <c r="DG45" s="547"/>
      <c r="DH45" s="469"/>
      <c r="DI45" s="469">
        <v>1217273.99</v>
      </c>
      <c r="DJ45" s="469">
        <v>183750</v>
      </c>
      <c r="DK45" s="469">
        <v>1164534.1299999999</v>
      </c>
      <c r="DL45" s="469"/>
      <c r="DM45" s="469"/>
      <c r="DN45" s="469"/>
      <c r="DO45" s="469"/>
      <c r="DP45" s="469">
        <v>709941.28</v>
      </c>
      <c r="DQ45" s="469"/>
      <c r="DR45" s="469">
        <f>1361233.54+1556308.71</f>
        <v>2917542.25</v>
      </c>
      <c r="DS45" s="469">
        <f t="shared" si="18"/>
        <v>6193041.6500000004</v>
      </c>
    </row>
    <row r="46" spans="1:123" s="624" customFormat="1" x14ac:dyDescent="0.2">
      <c r="A46" s="760" t="s">
        <v>1406</v>
      </c>
      <c r="B46" s="761" t="s">
        <v>107</v>
      </c>
      <c r="C46" s="769" t="s">
        <v>1416</v>
      </c>
      <c r="D46" s="469" t="s">
        <v>2033</v>
      </c>
      <c r="E46" s="469" t="s">
        <v>1511</v>
      </c>
      <c r="F46" s="469"/>
      <c r="G46" s="469"/>
      <c r="H46" s="469"/>
      <c r="I46" s="625"/>
      <c r="J46" s="625"/>
      <c r="K46" s="626">
        <v>3169406.9</v>
      </c>
      <c r="L46" s="626"/>
      <c r="M46" s="612">
        <f t="shared" si="32"/>
        <v>0</v>
      </c>
      <c r="N46" s="612">
        <f t="shared" si="33"/>
        <v>0</v>
      </c>
      <c r="O46" s="612">
        <f t="shared" si="34"/>
        <v>3169406.9</v>
      </c>
      <c r="P46" s="612">
        <f t="shared" si="35"/>
        <v>0</v>
      </c>
      <c r="Q46" s="612">
        <f t="shared" si="36"/>
        <v>0</v>
      </c>
      <c r="R46" s="612">
        <f t="shared" si="37"/>
        <v>0</v>
      </c>
      <c r="S46" s="612">
        <f t="shared" si="38"/>
        <v>3169406.9</v>
      </c>
      <c r="T46" s="612">
        <f t="shared" si="39"/>
        <v>0</v>
      </c>
      <c r="U46" s="612">
        <f t="shared" si="40"/>
        <v>0</v>
      </c>
      <c r="V46" s="676"/>
      <c r="W46" s="612">
        <f t="shared" si="41"/>
        <v>3169406.9</v>
      </c>
      <c r="X46" s="612">
        <f t="shared" si="42"/>
        <v>0</v>
      </c>
      <c r="Y46" s="677"/>
      <c r="Z46" s="678"/>
      <c r="AA46" s="612">
        <f t="shared" si="43"/>
        <v>3169406.9</v>
      </c>
      <c r="AB46" s="612">
        <f t="shared" si="44"/>
        <v>0</v>
      </c>
      <c r="AC46" s="612">
        <f t="shared" si="45"/>
        <v>1452581.5</v>
      </c>
      <c r="AD46" s="612">
        <f t="shared" si="46"/>
        <v>1452581.5</v>
      </c>
      <c r="AE46" s="612">
        <f t="shared" si="47"/>
        <v>1716825.4</v>
      </c>
      <c r="AF46" s="612"/>
      <c r="AG46" s="612"/>
      <c r="AH46" s="612"/>
      <c r="AI46" s="612"/>
      <c r="AJ46" s="679"/>
      <c r="AK46" s="617"/>
      <c r="AL46" s="617"/>
      <c r="AM46" s="660"/>
      <c r="AN46" s="469"/>
      <c r="AO46" s="469"/>
      <c r="AP46" s="469"/>
      <c r="AQ46" s="469"/>
      <c r="AR46" s="469"/>
      <c r="AS46" s="654"/>
      <c r="AT46" s="618"/>
      <c r="AU46" s="618"/>
      <c r="AV46" s="618"/>
      <c r="AW46" s="618"/>
      <c r="AX46" s="618"/>
      <c r="AY46" s="618"/>
      <c r="AZ46" s="618"/>
      <c r="BA46" s="618"/>
      <c r="BB46" s="620"/>
      <c r="BC46" s="618"/>
      <c r="BD46" s="618"/>
      <c r="BE46" s="618"/>
      <c r="BF46" s="618"/>
      <c r="BG46" s="618"/>
      <c r="BH46" s="618"/>
      <c r="BI46" s="618"/>
      <c r="BJ46" s="618"/>
      <c r="BK46" s="618"/>
      <c r="BL46" s="618"/>
      <c r="BM46" s="618"/>
      <c r="BN46" s="618"/>
      <c r="BO46" s="634"/>
      <c r="BP46" s="618"/>
      <c r="BQ46" s="618"/>
      <c r="BR46" s="618"/>
      <c r="BS46" s="618"/>
      <c r="BT46" s="618"/>
      <c r="BU46" s="618"/>
      <c r="BV46" s="618"/>
      <c r="BW46" s="618"/>
      <c r="BX46" s="618"/>
      <c r="BY46" s="618"/>
      <c r="BZ46" s="618"/>
      <c r="CA46" s="618"/>
      <c r="CB46" s="618"/>
      <c r="CC46" s="469"/>
      <c r="CD46" s="469"/>
      <c r="CE46" s="469"/>
      <c r="CF46" s="469"/>
      <c r="CG46" s="469"/>
      <c r="CH46" s="469"/>
      <c r="CI46" s="469"/>
      <c r="CJ46" s="469"/>
      <c r="CK46" s="469"/>
      <c r="CL46" s="469"/>
      <c r="CM46" s="469"/>
      <c r="CN46" s="469"/>
      <c r="CO46" s="469"/>
      <c r="CP46" s="547"/>
      <c r="CQ46" s="547"/>
      <c r="CR46" s="547"/>
      <c r="CS46" s="547"/>
      <c r="CT46" s="547"/>
      <c r="CU46" s="469"/>
      <c r="CV46" s="547">
        <v>157620</v>
      </c>
      <c r="CW46" s="547">
        <v>302362.59999999998</v>
      </c>
      <c r="CX46" s="547">
        <v>109952.34</v>
      </c>
      <c r="CY46" s="547">
        <v>590181.22</v>
      </c>
      <c r="CZ46" s="469"/>
      <c r="DA46" s="547">
        <v>230402.76</v>
      </c>
      <c r="DB46" s="547"/>
      <c r="DC46" s="547">
        <v>62062.58</v>
      </c>
      <c r="DD46" s="547"/>
      <c r="DE46" s="547"/>
      <c r="DF46" s="547">
        <f t="shared" si="49"/>
        <v>1452581.5</v>
      </c>
      <c r="DG46" s="469"/>
      <c r="DH46" s="469"/>
      <c r="DI46" s="469">
        <v>109567.4</v>
      </c>
      <c r="DJ46" s="469">
        <v>362158</v>
      </c>
      <c r="DK46" s="469"/>
      <c r="DL46" s="469"/>
      <c r="DM46" s="469"/>
      <c r="DN46" s="469"/>
      <c r="DO46" s="469"/>
      <c r="DP46" s="469"/>
      <c r="DQ46" s="469">
        <v>504640.13</v>
      </c>
      <c r="DR46" s="683">
        <v>156134.06</v>
      </c>
      <c r="DS46" s="1">
        <f t="shared" si="18"/>
        <v>1132499.5900000001</v>
      </c>
    </row>
    <row r="47" spans="1:123" s="624" customFormat="1" ht="24" x14ac:dyDescent="0.2">
      <c r="A47" s="760"/>
      <c r="B47" s="761"/>
      <c r="C47" s="769"/>
      <c r="D47" s="469" t="s">
        <v>303</v>
      </c>
      <c r="E47" s="469" t="s">
        <v>275</v>
      </c>
      <c r="F47" s="469" t="s">
        <v>49</v>
      </c>
      <c r="G47" s="469" t="s">
        <v>284</v>
      </c>
      <c r="H47" s="617" t="s">
        <v>363</v>
      </c>
      <c r="I47" s="625">
        <v>44732</v>
      </c>
      <c r="J47" s="625">
        <v>45828</v>
      </c>
      <c r="K47" s="670">
        <f>K46*14/100</f>
        <v>443716.96600000001</v>
      </c>
      <c r="L47" s="618"/>
      <c r="M47" s="612">
        <f t="shared" si="32"/>
        <v>0</v>
      </c>
      <c r="N47" s="612">
        <f t="shared" si="33"/>
        <v>0</v>
      </c>
      <c r="O47" s="612">
        <f t="shared" si="34"/>
        <v>443716.96600000001</v>
      </c>
      <c r="P47" s="612">
        <f t="shared" si="35"/>
        <v>0</v>
      </c>
      <c r="Q47" s="612">
        <f t="shared" si="36"/>
        <v>0</v>
      </c>
      <c r="R47" s="612">
        <f t="shared" si="37"/>
        <v>0</v>
      </c>
      <c r="S47" s="612">
        <f t="shared" si="38"/>
        <v>443716.96600000001</v>
      </c>
      <c r="T47" s="612">
        <f t="shared" si="39"/>
        <v>0</v>
      </c>
      <c r="U47" s="612">
        <f t="shared" si="40"/>
        <v>0</v>
      </c>
      <c r="V47" s="676">
        <f>T47+U47</f>
        <v>0</v>
      </c>
      <c r="W47" s="612">
        <f t="shared" si="41"/>
        <v>443716.96600000001</v>
      </c>
      <c r="X47" s="612">
        <f t="shared" si="42"/>
        <v>0</v>
      </c>
      <c r="Y47" s="677">
        <f>CS47</f>
        <v>237905.08849999998</v>
      </c>
      <c r="Z47" s="678">
        <f>X47+Y47</f>
        <v>237905.08849999998</v>
      </c>
      <c r="AA47" s="612">
        <f t="shared" si="43"/>
        <v>205811.87750000003</v>
      </c>
      <c r="AB47" s="612">
        <f t="shared" si="44"/>
        <v>237905.08849999998</v>
      </c>
      <c r="AC47" s="612">
        <f t="shared" si="45"/>
        <v>204419.21000000002</v>
      </c>
      <c r="AD47" s="612">
        <f t="shared" si="46"/>
        <v>442324.29850000003</v>
      </c>
      <c r="AE47" s="612">
        <f t="shared" si="47"/>
        <v>1392.6674999999814</v>
      </c>
      <c r="AF47" s="612"/>
      <c r="AG47" s="612"/>
      <c r="AH47" s="612"/>
      <c r="AI47" s="612"/>
      <c r="AJ47" s="679">
        <v>0</v>
      </c>
      <c r="AK47" s="617">
        <v>36</v>
      </c>
      <c r="AL47" s="658" t="s">
        <v>1304</v>
      </c>
      <c r="AM47" s="660">
        <v>0</v>
      </c>
      <c r="AN47" s="469">
        <v>0</v>
      </c>
      <c r="AO47" s="469" t="s">
        <v>53</v>
      </c>
      <c r="AP47" s="469" t="s">
        <v>53</v>
      </c>
      <c r="AQ47" s="469" t="s">
        <v>53</v>
      </c>
      <c r="AR47" s="469" t="s">
        <v>54</v>
      </c>
      <c r="AS47" s="654" t="s">
        <v>70</v>
      </c>
      <c r="AT47" s="469"/>
      <c r="AU47" s="469"/>
      <c r="AV47" s="469"/>
      <c r="AW47" s="469"/>
      <c r="AX47" s="469"/>
      <c r="AY47" s="469"/>
      <c r="AZ47" s="469"/>
      <c r="BA47" s="469"/>
      <c r="BB47" s="469"/>
      <c r="BC47" s="469"/>
      <c r="BD47" s="469"/>
      <c r="BE47" s="469"/>
      <c r="BF47" s="547"/>
      <c r="BG47" s="469"/>
      <c r="BH47" s="469"/>
      <c r="BI47" s="469"/>
      <c r="BJ47" s="469"/>
      <c r="BK47" s="469"/>
      <c r="BL47" s="469"/>
      <c r="BM47" s="469"/>
      <c r="BN47" s="469"/>
      <c r="BO47" s="469"/>
      <c r="BP47" s="469"/>
      <c r="BQ47" s="469"/>
      <c r="BR47" s="469"/>
      <c r="BS47" s="634"/>
      <c r="BT47" s="547"/>
      <c r="BU47" s="547"/>
      <c r="BV47" s="547"/>
      <c r="BW47" s="547"/>
      <c r="BX47" s="547"/>
      <c r="BY47" s="547"/>
      <c r="BZ47" s="547"/>
      <c r="CA47" s="547"/>
      <c r="CB47" s="547"/>
      <c r="CC47" s="547"/>
      <c r="CD47" s="547"/>
      <c r="CE47" s="547"/>
      <c r="CF47" s="634"/>
      <c r="CG47" s="547"/>
      <c r="CH47" s="547"/>
      <c r="CI47" s="547"/>
      <c r="CJ47" s="547"/>
      <c r="CK47" s="547"/>
      <c r="CL47" s="547"/>
      <c r="CM47" s="547"/>
      <c r="CN47" s="547"/>
      <c r="CO47" s="547"/>
      <c r="CP47" s="547"/>
      <c r="CQ47" s="547">
        <v>237905.08849999998</v>
      </c>
      <c r="CR47" s="547"/>
      <c r="CS47" s="547">
        <f>SUM(CG47:CR47)</f>
        <v>237905.08849999998</v>
      </c>
      <c r="CT47" s="469"/>
      <c r="CU47" s="547"/>
      <c r="CV47" s="547">
        <v>100145.72</v>
      </c>
      <c r="CW47" s="547"/>
      <c r="CX47" s="547"/>
      <c r="CY47" s="547"/>
      <c r="CZ47" s="547"/>
      <c r="DA47" s="547">
        <v>104273.49</v>
      </c>
      <c r="DB47" s="547"/>
      <c r="DC47" s="547"/>
      <c r="DD47" s="547"/>
      <c r="DE47" s="547"/>
      <c r="DF47" s="547">
        <f>SUM(CU47:DE47)</f>
        <v>204419.21000000002</v>
      </c>
      <c r="DG47" s="469"/>
      <c r="DH47" s="469"/>
      <c r="DI47" s="469"/>
      <c r="DJ47" s="469"/>
      <c r="DK47" s="469"/>
      <c r="DL47" s="469"/>
      <c r="DM47" s="469"/>
      <c r="DN47" s="469"/>
      <c r="DO47" s="469"/>
      <c r="DP47" s="469"/>
      <c r="DQ47" s="469"/>
      <c r="DR47" s="469"/>
      <c r="DS47" s="1">
        <f t="shared" si="18"/>
        <v>0</v>
      </c>
    </row>
    <row r="48" spans="1:123" s="624" customFormat="1" x14ac:dyDescent="0.2">
      <c r="A48" s="760" t="s">
        <v>1425</v>
      </c>
      <c r="B48" s="764" t="s">
        <v>107</v>
      </c>
      <c r="C48" s="760" t="s">
        <v>1417</v>
      </c>
      <c r="D48" s="469" t="s">
        <v>2032</v>
      </c>
      <c r="E48" s="469" t="s">
        <v>1512</v>
      </c>
      <c r="F48" s="469"/>
      <c r="G48" s="469"/>
      <c r="H48" s="617"/>
      <c r="I48" s="625"/>
      <c r="J48" s="625"/>
      <c r="K48" s="670">
        <v>3174334.08</v>
      </c>
      <c r="L48" s="618"/>
      <c r="M48" s="612">
        <f t="shared" si="32"/>
        <v>0</v>
      </c>
      <c r="N48" s="612">
        <f t="shared" si="33"/>
        <v>0</v>
      </c>
      <c r="O48" s="612">
        <f t="shared" si="34"/>
        <v>3174334.08</v>
      </c>
      <c r="P48" s="612">
        <f t="shared" si="35"/>
        <v>0</v>
      </c>
      <c r="Q48" s="612">
        <f t="shared" si="36"/>
        <v>0</v>
      </c>
      <c r="R48" s="612">
        <f t="shared" si="37"/>
        <v>0</v>
      </c>
      <c r="S48" s="612">
        <f t="shared" si="38"/>
        <v>3174334.08</v>
      </c>
      <c r="T48" s="612">
        <f t="shared" si="39"/>
        <v>0</v>
      </c>
      <c r="U48" s="612">
        <f t="shared" si="40"/>
        <v>0</v>
      </c>
      <c r="V48" s="676"/>
      <c r="W48" s="612">
        <f t="shared" si="41"/>
        <v>3174334.08</v>
      </c>
      <c r="X48" s="612">
        <f t="shared" si="42"/>
        <v>0</v>
      </c>
      <c r="Y48" s="677"/>
      <c r="Z48" s="678"/>
      <c r="AA48" s="612">
        <f t="shared" si="43"/>
        <v>3174334.08</v>
      </c>
      <c r="AB48" s="612">
        <f t="shared" si="44"/>
        <v>0</v>
      </c>
      <c r="AC48" s="612">
        <f t="shared" si="45"/>
        <v>2567291.84</v>
      </c>
      <c r="AD48" s="612">
        <f t="shared" si="46"/>
        <v>2567291.84</v>
      </c>
      <c r="AE48" s="612">
        <f t="shared" si="47"/>
        <v>607042.24000000022</v>
      </c>
      <c r="AF48" s="612"/>
      <c r="AG48" s="612"/>
      <c r="AH48" s="612"/>
      <c r="AI48" s="612"/>
      <c r="AJ48" s="679"/>
      <c r="AK48" s="617"/>
      <c r="AL48" s="658"/>
      <c r="AM48" s="660"/>
      <c r="AN48" s="469"/>
      <c r="AO48" s="469"/>
      <c r="AP48" s="469"/>
      <c r="AQ48" s="469"/>
      <c r="AR48" s="469"/>
      <c r="AS48" s="654"/>
      <c r="AT48" s="469"/>
      <c r="AU48" s="469"/>
      <c r="AV48" s="469"/>
      <c r="AW48" s="469"/>
      <c r="AX48" s="469"/>
      <c r="AY48" s="469"/>
      <c r="AZ48" s="469"/>
      <c r="BA48" s="469"/>
      <c r="BB48" s="469"/>
      <c r="BC48" s="469"/>
      <c r="BD48" s="469"/>
      <c r="BE48" s="469"/>
      <c r="BF48" s="547"/>
      <c r="BG48" s="469"/>
      <c r="BH48" s="469"/>
      <c r="BI48" s="469"/>
      <c r="BJ48" s="469"/>
      <c r="BK48" s="469"/>
      <c r="BL48" s="469"/>
      <c r="BM48" s="469"/>
      <c r="BN48" s="469"/>
      <c r="BO48" s="469"/>
      <c r="BP48" s="469"/>
      <c r="BQ48" s="469"/>
      <c r="BR48" s="469"/>
      <c r="BS48" s="634"/>
      <c r="BT48" s="547"/>
      <c r="BU48" s="547"/>
      <c r="BV48" s="547"/>
      <c r="BW48" s="547"/>
      <c r="BX48" s="547"/>
      <c r="BY48" s="547"/>
      <c r="BZ48" s="547"/>
      <c r="CA48" s="547"/>
      <c r="CB48" s="547"/>
      <c r="CC48" s="547"/>
      <c r="CD48" s="547"/>
      <c r="CE48" s="547"/>
      <c r="CF48" s="634"/>
      <c r="CG48" s="547"/>
      <c r="CH48" s="547"/>
      <c r="CI48" s="547"/>
      <c r="CJ48" s="547"/>
      <c r="CK48" s="547"/>
      <c r="CL48" s="547"/>
      <c r="CM48" s="547"/>
      <c r="CN48" s="547"/>
      <c r="CO48" s="547"/>
      <c r="CP48" s="547"/>
      <c r="CQ48" s="547"/>
      <c r="CR48" s="547"/>
      <c r="CS48" s="547"/>
      <c r="CT48" s="547"/>
      <c r="CU48" s="469"/>
      <c r="CV48" s="547">
        <v>524063.72</v>
      </c>
      <c r="CW48" s="547"/>
      <c r="CX48" s="547">
        <v>701000.7</v>
      </c>
      <c r="CY48" s="547"/>
      <c r="CZ48" s="547">
        <v>742277.59</v>
      </c>
      <c r="DA48" s="547"/>
      <c r="DB48" s="547"/>
      <c r="DC48" s="547">
        <v>599949.82999999996</v>
      </c>
      <c r="DD48" s="547"/>
      <c r="DE48" s="547"/>
      <c r="DF48" s="547">
        <f t="shared" si="49"/>
        <v>2567291.84</v>
      </c>
      <c r="DG48" s="469">
        <v>288640.8</v>
      </c>
      <c r="DH48" s="469"/>
      <c r="DI48" s="469"/>
      <c r="DJ48" s="469">
        <v>158662.91</v>
      </c>
      <c r="DK48" s="469"/>
      <c r="DL48" s="469"/>
      <c r="DM48" s="469"/>
      <c r="DN48" s="469"/>
      <c r="DO48" s="469"/>
      <c r="DP48" s="469"/>
      <c r="DQ48" s="469"/>
      <c r="DR48" s="469"/>
      <c r="DS48" s="1">
        <f t="shared" si="18"/>
        <v>447303.70999999996</v>
      </c>
    </row>
    <row r="49" spans="1:123" s="624" customFormat="1" ht="24" x14ac:dyDescent="0.2">
      <c r="A49" s="760"/>
      <c r="B49" s="764"/>
      <c r="C49" s="760"/>
      <c r="D49" s="469" t="s">
        <v>2021</v>
      </c>
      <c r="E49" s="469" t="s">
        <v>1427</v>
      </c>
      <c r="F49" s="469" t="s">
        <v>49</v>
      </c>
      <c r="G49" s="469" t="s">
        <v>284</v>
      </c>
      <c r="H49" s="617" t="s">
        <v>363</v>
      </c>
      <c r="I49" s="625">
        <v>44733</v>
      </c>
      <c r="J49" s="625">
        <v>45829</v>
      </c>
      <c r="K49" s="670">
        <f>K48*14/100</f>
        <v>444406.77120000008</v>
      </c>
      <c r="L49" s="618"/>
      <c r="M49" s="612">
        <f t="shared" si="32"/>
        <v>0</v>
      </c>
      <c r="N49" s="612">
        <f t="shared" si="33"/>
        <v>0</v>
      </c>
      <c r="O49" s="612">
        <f t="shared" si="34"/>
        <v>444406.77120000008</v>
      </c>
      <c r="P49" s="612">
        <f t="shared" si="35"/>
        <v>0</v>
      </c>
      <c r="Q49" s="612">
        <f t="shared" si="36"/>
        <v>0</v>
      </c>
      <c r="R49" s="612">
        <f t="shared" si="37"/>
        <v>0</v>
      </c>
      <c r="S49" s="612">
        <f t="shared" si="38"/>
        <v>444406.77120000008</v>
      </c>
      <c r="T49" s="612">
        <f t="shared" si="39"/>
        <v>0</v>
      </c>
      <c r="U49" s="612">
        <f t="shared" si="40"/>
        <v>0</v>
      </c>
      <c r="V49" s="676">
        <f>T49+U49</f>
        <v>0</v>
      </c>
      <c r="W49" s="612">
        <f t="shared" si="41"/>
        <v>444406.77120000008</v>
      </c>
      <c r="X49" s="612">
        <f t="shared" si="42"/>
        <v>0</v>
      </c>
      <c r="Y49" s="677">
        <f>CS49</f>
        <v>154100.86249999999</v>
      </c>
      <c r="Z49" s="678">
        <f>X49+Y49</f>
        <v>154100.86249999999</v>
      </c>
      <c r="AA49" s="612">
        <f t="shared" si="43"/>
        <v>290305.90870000009</v>
      </c>
      <c r="AB49" s="612">
        <f t="shared" si="44"/>
        <v>154100.86249999999</v>
      </c>
      <c r="AC49" s="612">
        <f t="shared" si="45"/>
        <v>242412.46000000002</v>
      </c>
      <c r="AD49" s="612">
        <f t="shared" si="46"/>
        <v>396513.32250000001</v>
      </c>
      <c r="AE49" s="612">
        <f t="shared" si="47"/>
        <v>47893.448700000066</v>
      </c>
      <c r="AF49" s="612"/>
      <c r="AG49" s="612"/>
      <c r="AH49" s="612"/>
      <c r="AI49" s="612"/>
      <c r="AJ49" s="679">
        <v>0</v>
      </c>
      <c r="AK49" s="617">
        <v>36</v>
      </c>
      <c r="AL49" s="658" t="s">
        <v>1304</v>
      </c>
      <c r="AM49" s="660">
        <v>0</v>
      </c>
      <c r="AN49" s="469">
        <v>0</v>
      </c>
      <c r="AO49" s="469" t="s">
        <v>53</v>
      </c>
      <c r="AP49" s="469" t="s">
        <v>53</v>
      </c>
      <c r="AQ49" s="469" t="s">
        <v>53</v>
      </c>
      <c r="AR49" s="469" t="s">
        <v>54</v>
      </c>
      <c r="AS49" s="654" t="s">
        <v>70</v>
      </c>
      <c r="AT49" s="469"/>
      <c r="AU49" s="469"/>
      <c r="AV49" s="469"/>
      <c r="AW49" s="469"/>
      <c r="AX49" s="469"/>
      <c r="AY49" s="469"/>
      <c r="AZ49" s="469"/>
      <c r="BA49" s="469"/>
      <c r="BB49" s="469"/>
      <c r="BC49" s="469"/>
      <c r="BD49" s="469"/>
      <c r="BE49" s="469"/>
      <c r="BF49" s="547"/>
      <c r="BG49" s="469"/>
      <c r="BH49" s="469"/>
      <c r="BI49" s="469"/>
      <c r="BJ49" s="469"/>
      <c r="BK49" s="469"/>
      <c r="BL49" s="469"/>
      <c r="BM49" s="469"/>
      <c r="BN49" s="469"/>
      <c r="BO49" s="469"/>
      <c r="BP49" s="469"/>
      <c r="BQ49" s="469"/>
      <c r="BR49" s="469"/>
      <c r="BS49" s="634"/>
      <c r="BT49" s="547"/>
      <c r="BU49" s="547"/>
      <c r="BV49" s="547"/>
      <c r="BW49" s="547"/>
      <c r="BX49" s="547"/>
      <c r="BY49" s="547"/>
      <c r="BZ49" s="547"/>
      <c r="CA49" s="547"/>
      <c r="CB49" s="547"/>
      <c r="CC49" s="547"/>
      <c r="CD49" s="547"/>
      <c r="CE49" s="547"/>
      <c r="CF49" s="634"/>
      <c r="CG49" s="547"/>
      <c r="CH49" s="547"/>
      <c r="CI49" s="547"/>
      <c r="CJ49" s="547"/>
      <c r="CK49" s="547"/>
      <c r="CL49" s="547"/>
      <c r="CM49" s="547"/>
      <c r="CN49" s="547"/>
      <c r="CO49" s="547"/>
      <c r="CP49" s="547">
        <v>154100.86249999999</v>
      </c>
      <c r="CQ49" s="547"/>
      <c r="CR49" s="547"/>
      <c r="CS49" s="547">
        <f>SUM(CG49:CR49)</f>
        <v>154100.86249999999</v>
      </c>
      <c r="CT49" s="547"/>
      <c r="CU49" s="547"/>
      <c r="CV49" s="469"/>
      <c r="CW49" s="547">
        <v>116902.24</v>
      </c>
      <c r="CX49" s="547"/>
      <c r="CY49" s="547"/>
      <c r="CZ49" s="469"/>
      <c r="DA49" s="547">
        <v>33186.22</v>
      </c>
      <c r="DB49" s="547"/>
      <c r="DC49" s="547">
        <v>92324</v>
      </c>
      <c r="DD49" s="547"/>
      <c r="DE49" s="547"/>
      <c r="DF49" s="547">
        <f t="shared" si="49"/>
        <v>242412.46000000002</v>
      </c>
      <c r="DG49" s="469"/>
      <c r="DH49" s="469">
        <v>37298.42</v>
      </c>
      <c r="DI49" s="469"/>
      <c r="DJ49" s="469"/>
      <c r="DK49" s="469"/>
      <c r="DL49" s="469"/>
      <c r="DM49" s="469"/>
      <c r="DN49" s="469"/>
      <c r="DO49" s="469"/>
      <c r="DP49" s="469"/>
      <c r="DQ49" s="469"/>
      <c r="DR49" s="469"/>
      <c r="DS49" s="1">
        <f t="shared" si="18"/>
        <v>37298.42</v>
      </c>
    </row>
    <row r="50" spans="1:123" s="624" customFormat="1" ht="24" x14ac:dyDescent="0.2">
      <c r="A50" s="760" t="s">
        <v>1426</v>
      </c>
      <c r="B50" s="764" t="s">
        <v>107</v>
      </c>
      <c r="C50" s="760" t="s">
        <v>1418</v>
      </c>
      <c r="D50" s="469" t="s">
        <v>2024</v>
      </c>
      <c r="E50" s="703" t="s">
        <v>136</v>
      </c>
      <c r="F50" s="753" t="s">
        <v>49</v>
      </c>
      <c r="G50" s="753" t="s">
        <v>284</v>
      </c>
      <c r="H50" s="753" t="s">
        <v>363</v>
      </c>
      <c r="I50" s="756">
        <v>44734</v>
      </c>
      <c r="J50" s="756">
        <v>45830</v>
      </c>
      <c r="K50" s="670">
        <f>K51*14/100</f>
        <v>406063.38080000004</v>
      </c>
      <c r="L50" s="618"/>
      <c r="M50" s="612">
        <f t="shared" si="32"/>
        <v>0</v>
      </c>
      <c r="N50" s="612">
        <f t="shared" si="33"/>
        <v>0</v>
      </c>
      <c r="O50" s="612">
        <f t="shared" si="34"/>
        <v>406063.38080000004</v>
      </c>
      <c r="P50" s="612">
        <f t="shared" si="35"/>
        <v>0</v>
      </c>
      <c r="Q50" s="612">
        <f t="shared" si="36"/>
        <v>0</v>
      </c>
      <c r="R50" s="612">
        <f t="shared" si="37"/>
        <v>0</v>
      </c>
      <c r="S50" s="612">
        <f t="shared" si="38"/>
        <v>406063.38080000004</v>
      </c>
      <c r="T50" s="612">
        <f t="shared" si="39"/>
        <v>0</v>
      </c>
      <c r="U50" s="612">
        <f t="shared" si="40"/>
        <v>0</v>
      </c>
      <c r="V50" s="676">
        <f>T50+U50</f>
        <v>0</v>
      </c>
      <c r="W50" s="612">
        <f t="shared" si="41"/>
        <v>406063.38080000004</v>
      </c>
      <c r="X50" s="612">
        <f t="shared" si="42"/>
        <v>0</v>
      </c>
      <c r="Y50" s="677">
        <f>CS50</f>
        <v>159103.56949999998</v>
      </c>
      <c r="Z50" s="678">
        <f>X50+Y50</f>
        <v>159103.56949999998</v>
      </c>
      <c r="AA50" s="612">
        <f t="shared" si="43"/>
        <v>246959.81130000006</v>
      </c>
      <c r="AB50" s="612">
        <f t="shared" si="44"/>
        <v>159103.56949999998</v>
      </c>
      <c r="AC50" s="612">
        <f t="shared" si="45"/>
        <v>171142.55300000001</v>
      </c>
      <c r="AD50" s="612">
        <f t="shared" si="46"/>
        <v>330246.1225</v>
      </c>
      <c r="AE50" s="612">
        <f t="shared" si="47"/>
        <v>75817.258300000045</v>
      </c>
      <c r="AF50" s="612"/>
      <c r="AG50" s="612"/>
      <c r="AH50" s="612"/>
      <c r="AI50" s="612"/>
      <c r="AJ50" s="679">
        <v>0</v>
      </c>
      <c r="AK50" s="617">
        <v>36</v>
      </c>
      <c r="AL50" s="658" t="s">
        <v>1304</v>
      </c>
      <c r="AM50" s="660">
        <v>0</v>
      </c>
      <c r="AN50" s="469">
        <v>0</v>
      </c>
      <c r="AO50" s="469" t="s">
        <v>53</v>
      </c>
      <c r="AP50" s="469" t="s">
        <v>53</v>
      </c>
      <c r="AQ50" s="469" t="s">
        <v>53</v>
      </c>
      <c r="AR50" s="469" t="s">
        <v>54</v>
      </c>
      <c r="AS50" s="654" t="s">
        <v>70</v>
      </c>
      <c r="AT50" s="469"/>
      <c r="AU50" s="469"/>
      <c r="AV50" s="469"/>
      <c r="AW50" s="469"/>
      <c r="AX50" s="469"/>
      <c r="AY50" s="469"/>
      <c r="AZ50" s="469"/>
      <c r="BA50" s="469"/>
      <c r="BB50" s="469"/>
      <c r="BC50" s="469"/>
      <c r="BD50" s="469"/>
      <c r="BE50" s="469"/>
      <c r="BF50" s="547"/>
      <c r="BG50" s="469"/>
      <c r="BH50" s="469"/>
      <c r="BI50" s="469"/>
      <c r="BJ50" s="469"/>
      <c r="BK50" s="469"/>
      <c r="BL50" s="469"/>
      <c r="BM50" s="469"/>
      <c r="BN50" s="469"/>
      <c r="BO50" s="469"/>
      <c r="BP50" s="469"/>
      <c r="BQ50" s="469"/>
      <c r="BR50" s="469"/>
      <c r="BS50" s="634"/>
      <c r="BT50" s="547"/>
      <c r="BU50" s="547"/>
      <c r="BV50" s="547"/>
      <c r="BW50" s="547"/>
      <c r="BX50" s="547"/>
      <c r="BY50" s="547"/>
      <c r="BZ50" s="547"/>
      <c r="CA50" s="547"/>
      <c r="CB50" s="547"/>
      <c r="CC50" s="547"/>
      <c r="CD50" s="547"/>
      <c r="CE50" s="547"/>
      <c r="CF50" s="634"/>
      <c r="CG50" s="547"/>
      <c r="CH50" s="547"/>
      <c r="CI50" s="547"/>
      <c r="CJ50" s="547"/>
      <c r="CK50" s="547"/>
      <c r="CL50" s="547"/>
      <c r="CM50" s="547"/>
      <c r="CN50" s="547"/>
      <c r="CO50" s="547"/>
      <c r="CP50" s="547"/>
      <c r="CQ50" s="547">
        <v>159103.56949999998</v>
      </c>
      <c r="CR50" s="547"/>
      <c r="CS50" s="547">
        <f>SUM(CG50:CR50)</f>
        <v>159103.56949999998</v>
      </c>
      <c r="CT50" s="547">
        <v>102949.37</v>
      </c>
      <c r="CU50" s="547"/>
      <c r="CV50" s="547"/>
      <c r="CW50" s="547"/>
      <c r="CX50" s="547"/>
      <c r="CY50" s="547"/>
      <c r="CZ50" s="547"/>
      <c r="DA50" s="547"/>
      <c r="DB50" s="547"/>
      <c r="DC50" s="547"/>
      <c r="DD50" s="547"/>
      <c r="DE50" s="547">
        <v>68193.183000000005</v>
      </c>
      <c r="DF50" s="547">
        <f t="shared" si="49"/>
        <v>171142.55300000001</v>
      </c>
      <c r="DG50" s="469"/>
      <c r="DH50" s="469"/>
      <c r="DI50" s="469">
        <v>197908.69</v>
      </c>
      <c r="DJ50" s="469"/>
      <c r="DK50" s="469"/>
      <c r="DL50" s="469"/>
      <c r="DM50" s="469"/>
      <c r="DN50" s="469"/>
      <c r="DO50" s="469"/>
      <c r="DP50" s="469"/>
      <c r="DQ50" s="469"/>
      <c r="DR50" s="469"/>
      <c r="DS50" s="1">
        <f t="shared" si="18"/>
        <v>197908.69</v>
      </c>
    </row>
    <row r="51" spans="1:123" s="624" customFormat="1" x14ac:dyDescent="0.2">
      <c r="A51" s="760"/>
      <c r="B51" s="764"/>
      <c r="C51" s="760"/>
      <c r="D51" s="469" t="s">
        <v>2031</v>
      </c>
      <c r="E51" s="703" t="s">
        <v>1513</v>
      </c>
      <c r="F51" s="755"/>
      <c r="G51" s="755"/>
      <c r="H51" s="755"/>
      <c r="I51" s="758"/>
      <c r="J51" s="758"/>
      <c r="K51" s="670">
        <v>2900452.72</v>
      </c>
      <c r="L51" s="618"/>
      <c r="M51" s="612">
        <f t="shared" si="32"/>
        <v>0</v>
      </c>
      <c r="N51" s="612">
        <f t="shared" si="33"/>
        <v>0</v>
      </c>
      <c r="O51" s="612">
        <f t="shared" si="34"/>
        <v>2900452.72</v>
      </c>
      <c r="P51" s="612">
        <f t="shared" si="35"/>
        <v>0</v>
      </c>
      <c r="Q51" s="612">
        <f t="shared" si="36"/>
        <v>0</v>
      </c>
      <c r="R51" s="612">
        <f t="shared" si="37"/>
        <v>0</v>
      </c>
      <c r="S51" s="612">
        <f t="shared" si="38"/>
        <v>2900452.72</v>
      </c>
      <c r="T51" s="612">
        <f t="shared" si="39"/>
        <v>0</v>
      </c>
      <c r="U51" s="612">
        <f t="shared" si="40"/>
        <v>0</v>
      </c>
      <c r="V51" s="676"/>
      <c r="W51" s="612">
        <f t="shared" si="41"/>
        <v>2900452.72</v>
      </c>
      <c r="X51" s="612">
        <f t="shared" si="42"/>
        <v>0</v>
      </c>
      <c r="Y51" s="677"/>
      <c r="Z51" s="678"/>
      <c r="AA51" s="612">
        <f t="shared" si="43"/>
        <v>2900452.72</v>
      </c>
      <c r="AB51" s="612">
        <f t="shared" si="44"/>
        <v>0</v>
      </c>
      <c r="AC51" s="612">
        <f t="shared" si="45"/>
        <v>1345463.78</v>
      </c>
      <c r="AD51" s="612">
        <f t="shared" si="46"/>
        <v>1345463.78</v>
      </c>
      <c r="AE51" s="612">
        <f t="shared" si="47"/>
        <v>1554988.9400000002</v>
      </c>
      <c r="AF51" s="612"/>
      <c r="AG51" s="612"/>
      <c r="AH51" s="612"/>
      <c r="AI51" s="612"/>
      <c r="AJ51" s="679"/>
      <c r="AK51" s="617"/>
      <c r="AL51" s="658"/>
      <c r="AM51" s="660"/>
      <c r="AN51" s="469"/>
      <c r="AO51" s="469"/>
      <c r="AP51" s="469"/>
      <c r="AQ51" s="469"/>
      <c r="AR51" s="469"/>
      <c r="AS51" s="654"/>
      <c r="AT51" s="469"/>
      <c r="AU51" s="469"/>
      <c r="AV51" s="469"/>
      <c r="AW51" s="469"/>
      <c r="AX51" s="469"/>
      <c r="AY51" s="469"/>
      <c r="AZ51" s="469"/>
      <c r="BA51" s="469"/>
      <c r="BB51" s="469"/>
      <c r="BC51" s="469"/>
      <c r="BD51" s="469"/>
      <c r="BE51" s="469"/>
      <c r="BF51" s="547"/>
      <c r="BG51" s="469"/>
      <c r="BH51" s="469"/>
      <c r="BI51" s="469"/>
      <c r="BJ51" s="469"/>
      <c r="BK51" s="469"/>
      <c r="BL51" s="469"/>
      <c r="BM51" s="469"/>
      <c r="BN51" s="469"/>
      <c r="BO51" s="469"/>
      <c r="BP51" s="469"/>
      <c r="BQ51" s="469"/>
      <c r="BR51" s="469"/>
      <c r="BS51" s="634"/>
      <c r="BT51" s="547"/>
      <c r="BU51" s="547"/>
      <c r="BV51" s="547"/>
      <c r="BW51" s="547"/>
      <c r="BX51" s="547"/>
      <c r="BY51" s="547"/>
      <c r="BZ51" s="547"/>
      <c r="CA51" s="547"/>
      <c r="CB51" s="547"/>
      <c r="CC51" s="547"/>
      <c r="CD51" s="547"/>
      <c r="CE51" s="547"/>
      <c r="CF51" s="634"/>
      <c r="CG51" s="547"/>
      <c r="CH51" s="547"/>
      <c r="CI51" s="547"/>
      <c r="CJ51" s="547"/>
      <c r="CK51" s="547"/>
      <c r="CL51" s="547"/>
      <c r="CM51" s="547"/>
      <c r="CN51" s="547"/>
      <c r="CO51" s="547"/>
      <c r="CP51" s="547"/>
      <c r="CQ51" s="547"/>
      <c r="CR51" s="547"/>
      <c r="CS51" s="547"/>
      <c r="CT51" s="547">
        <v>128857.5</v>
      </c>
      <c r="CU51" s="547"/>
      <c r="CV51" s="547">
        <v>501705.9</v>
      </c>
      <c r="CW51" s="547"/>
      <c r="CX51" s="547">
        <v>602380.35</v>
      </c>
      <c r="CY51" s="547"/>
      <c r="CZ51" s="547"/>
      <c r="DA51" s="547"/>
      <c r="DB51" s="547"/>
      <c r="DC51" s="547">
        <v>112520.03</v>
      </c>
      <c r="DD51" s="547"/>
      <c r="DE51" s="547"/>
      <c r="DF51" s="547">
        <f t="shared" si="49"/>
        <v>1345463.78</v>
      </c>
      <c r="DG51" s="469"/>
      <c r="DH51" s="469">
        <v>369407.03</v>
      </c>
      <c r="DI51" s="469"/>
      <c r="DJ51" s="469">
        <v>196543.4</v>
      </c>
      <c r="DK51" s="469"/>
      <c r="DL51" s="469"/>
      <c r="DM51" s="469"/>
      <c r="DN51" s="469">
        <v>305169.75</v>
      </c>
      <c r="DO51" s="469"/>
      <c r="DP51" s="469"/>
      <c r="DQ51" s="469"/>
      <c r="DR51" s="469"/>
      <c r="DS51" s="1">
        <f t="shared" si="18"/>
        <v>871120.18</v>
      </c>
    </row>
    <row r="52" spans="1:123" s="624" customFormat="1" ht="24" x14ac:dyDescent="0.2">
      <c r="A52" s="753" t="s">
        <v>1406</v>
      </c>
      <c r="B52" s="753" t="s">
        <v>57</v>
      </c>
      <c r="C52" s="753" t="s">
        <v>1419</v>
      </c>
      <c r="D52" s="469" t="s">
        <v>2000</v>
      </c>
      <c r="E52" s="469" t="s">
        <v>224</v>
      </c>
      <c r="F52" s="753" t="s">
        <v>49</v>
      </c>
      <c r="G52" s="753" t="s">
        <v>284</v>
      </c>
      <c r="H52" s="753" t="s">
        <v>61</v>
      </c>
      <c r="I52" s="756">
        <v>45169</v>
      </c>
      <c r="J52" s="756">
        <v>46265</v>
      </c>
      <c r="K52" s="670">
        <f>K53*14/100</f>
        <v>2660924.9324000003</v>
      </c>
      <c r="L52" s="618"/>
      <c r="M52" s="612">
        <f t="shared" si="32"/>
        <v>0</v>
      </c>
      <c r="N52" s="612">
        <f t="shared" si="33"/>
        <v>0</v>
      </c>
      <c r="O52" s="612">
        <f t="shared" si="34"/>
        <v>2660924.9324000003</v>
      </c>
      <c r="P52" s="612">
        <f t="shared" si="35"/>
        <v>0</v>
      </c>
      <c r="Q52" s="612">
        <f t="shared" si="36"/>
        <v>0</v>
      </c>
      <c r="R52" s="612">
        <f t="shared" si="37"/>
        <v>0</v>
      </c>
      <c r="S52" s="612">
        <f t="shared" si="38"/>
        <v>2660924.9324000003</v>
      </c>
      <c r="T52" s="612">
        <f t="shared" si="39"/>
        <v>0</v>
      </c>
      <c r="U52" s="612">
        <f t="shared" si="40"/>
        <v>0</v>
      </c>
      <c r="V52" s="676">
        <f>T52+U52</f>
        <v>0</v>
      </c>
      <c r="W52" s="612">
        <f t="shared" si="41"/>
        <v>2660924.9324000003</v>
      </c>
      <c r="X52" s="612">
        <f t="shared" si="42"/>
        <v>0</v>
      </c>
      <c r="Y52" s="677">
        <f>CS52</f>
        <v>0</v>
      </c>
      <c r="Z52" s="678">
        <f>X52+Y52</f>
        <v>0</v>
      </c>
      <c r="AA52" s="612">
        <f t="shared" si="43"/>
        <v>2660924.9324000003</v>
      </c>
      <c r="AB52" s="612">
        <f t="shared" si="44"/>
        <v>0</v>
      </c>
      <c r="AC52" s="612">
        <f t="shared" si="45"/>
        <v>1898422.76</v>
      </c>
      <c r="AD52" s="612">
        <f t="shared" si="46"/>
        <v>1898422.76</v>
      </c>
      <c r="AE52" s="612">
        <f t="shared" si="47"/>
        <v>762502.17240000027</v>
      </c>
      <c r="AF52" s="612"/>
      <c r="AG52" s="612"/>
      <c r="AH52" s="612"/>
      <c r="AI52" s="612"/>
      <c r="AJ52" s="679">
        <v>0</v>
      </c>
      <c r="AK52" s="617">
        <v>36</v>
      </c>
      <c r="AL52" s="658" t="s">
        <v>1304</v>
      </c>
      <c r="AM52" s="660">
        <v>0</v>
      </c>
      <c r="AN52" s="469">
        <v>0</v>
      </c>
      <c r="AO52" s="469" t="s">
        <v>53</v>
      </c>
      <c r="AP52" s="469" t="s">
        <v>53</v>
      </c>
      <c r="AQ52" s="469" t="s">
        <v>53</v>
      </c>
      <c r="AR52" s="469" t="s">
        <v>54</v>
      </c>
      <c r="AS52" s="654" t="s">
        <v>70</v>
      </c>
      <c r="AT52" s="469"/>
      <c r="AU52" s="469"/>
      <c r="AV52" s="469"/>
      <c r="AW52" s="469"/>
      <c r="AX52" s="469"/>
      <c r="AY52" s="469"/>
      <c r="AZ52" s="469"/>
      <c r="BA52" s="469"/>
      <c r="BB52" s="469"/>
      <c r="BC52" s="469"/>
      <c r="BD52" s="469"/>
      <c r="BE52" s="469"/>
      <c r="BF52" s="547"/>
      <c r="BG52" s="469"/>
      <c r="BH52" s="469"/>
      <c r="BI52" s="469"/>
      <c r="BJ52" s="469"/>
      <c r="BK52" s="469"/>
      <c r="BL52" s="469"/>
      <c r="BM52" s="469"/>
      <c r="BN52" s="469"/>
      <c r="BO52" s="469"/>
      <c r="BP52" s="469"/>
      <c r="BQ52" s="469"/>
      <c r="BR52" s="469"/>
      <c r="BS52" s="634"/>
      <c r="BT52" s="547"/>
      <c r="BU52" s="547"/>
      <c r="BV52" s="547"/>
      <c r="BW52" s="547"/>
      <c r="BX52" s="547"/>
      <c r="BY52" s="547"/>
      <c r="BZ52" s="547"/>
      <c r="CA52" s="547"/>
      <c r="CB52" s="547"/>
      <c r="CC52" s="547"/>
      <c r="CD52" s="547"/>
      <c r="CE52" s="547"/>
      <c r="CF52" s="634"/>
      <c r="CG52" s="547"/>
      <c r="CH52" s="547"/>
      <c r="CI52" s="547"/>
      <c r="CJ52" s="547"/>
      <c r="CK52" s="547"/>
      <c r="CL52" s="547"/>
      <c r="CM52" s="547"/>
      <c r="CN52" s="547"/>
      <c r="CO52" s="547"/>
      <c r="CP52" s="547"/>
      <c r="CQ52" s="547">
        <v>0</v>
      </c>
      <c r="CR52" s="547"/>
      <c r="CS52" s="547">
        <v>0</v>
      </c>
      <c r="CT52" s="469"/>
      <c r="CU52" s="547">
        <v>1061815.5900000001</v>
      </c>
      <c r="CV52" s="547"/>
      <c r="CW52" s="547"/>
      <c r="CX52" s="469"/>
      <c r="CY52" s="547"/>
      <c r="CZ52" s="547">
        <f>770177.7+66429.47</f>
        <v>836607.16999999993</v>
      </c>
      <c r="DA52" s="547"/>
      <c r="DB52" s="547"/>
      <c r="DC52" s="547"/>
      <c r="DD52" s="547"/>
      <c r="DE52" s="547"/>
      <c r="DF52" s="547">
        <f>SUM(CU52:DE52)</f>
        <v>1898422.76</v>
      </c>
      <c r="DG52" s="469"/>
      <c r="DH52" s="469"/>
      <c r="DI52" s="469">
        <v>489226.81</v>
      </c>
      <c r="DJ52" s="469"/>
      <c r="DK52" s="469"/>
      <c r="DL52" s="469"/>
      <c r="DM52" s="469"/>
      <c r="DN52" s="469"/>
      <c r="DO52" s="469"/>
      <c r="DP52" s="469"/>
      <c r="DQ52" s="469"/>
      <c r="DR52" s="469"/>
      <c r="DS52" s="1">
        <f t="shared" si="18"/>
        <v>489226.81</v>
      </c>
    </row>
    <row r="53" spans="1:123" s="624" customFormat="1" ht="24" x14ac:dyDescent="0.2">
      <c r="A53" s="754"/>
      <c r="B53" s="754"/>
      <c r="C53" s="754"/>
      <c r="D53" s="469" t="s">
        <v>2030</v>
      </c>
      <c r="E53" s="469" t="s">
        <v>94</v>
      </c>
      <c r="F53" s="754"/>
      <c r="G53" s="754"/>
      <c r="H53" s="754"/>
      <c r="I53" s="757"/>
      <c r="J53" s="757"/>
      <c r="K53" s="670">
        <v>19006606.66</v>
      </c>
      <c r="L53" s="618"/>
      <c r="M53" s="612">
        <f t="shared" si="32"/>
        <v>0</v>
      </c>
      <c r="N53" s="612">
        <f t="shared" si="33"/>
        <v>0</v>
      </c>
      <c r="O53" s="612">
        <f t="shared" si="34"/>
        <v>19006606.66</v>
      </c>
      <c r="P53" s="612">
        <f t="shared" si="35"/>
        <v>0</v>
      </c>
      <c r="Q53" s="612">
        <f t="shared" si="36"/>
        <v>0</v>
      </c>
      <c r="R53" s="612">
        <f t="shared" si="37"/>
        <v>0</v>
      </c>
      <c r="S53" s="612">
        <f t="shared" si="38"/>
        <v>19006606.66</v>
      </c>
      <c r="T53" s="612">
        <f t="shared" si="39"/>
        <v>0</v>
      </c>
      <c r="U53" s="612">
        <f t="shared" si="40"/>
        <v>0</v>
      </c>
      <c r="V53" s="676">
        <f>T53+U53</f>
        <v>0</v>
      </c>
      <c r="W53" s="612">
        <f t="shared" si="41"/>
        <v>19006606.66</v>
      </c>
      <c r="X53" s="612">
        <f t="shared" si="42"/>
        <v>0</v>
      </c>
      <c r="Y53" s="677">
        <f>CS53</f>
        <v>0</v>
      </c>
      <c r="Z53" s="678">
        <f>X53+Y53</f>
        <v>0</v>
      </c>
      <c r="AA53" s="612">
        <f t="shared" si="43"/>
        <v>19006606.66</v>
      </c>
      <c r="AB53" s="612">
        <f t="shared" si="44"/>
        <v>0</v>
      </c>
      <c r="AC53" s="612">
        <f t="shared" si="45"/>
        <v>2221279.7400000002</v>
      </c>
      <c r="AD53" s="612">
        <f t="shared" si="46"/>
        <v>2221279.7400000002</v>
      </c>
      <c r="AE53" s="612">
        <f t="shared" si="47"/>
        <v>16785326.920000002</v>
      </c>
      <c r="AF53" s="612"/>
      <c r="AG53" s="612"/>
      <c r="AH53" s="612"/>
      <c r="AI53" s="612"/>
      <c r="AJ53" s="679">
        <v>0</v>
      </c>
      <c r="AK53" s="617">
        <v>36</v>
      </c>
      <c r="AL53" s="658" t="s">
        <v>1304</v>
      </c>
      <c r="AM53" s="660">
        <v>0</v>
      </c>
      <c r="AN53" s="469">
        <v>0</v>
      </c>
      <c r="AO53" s="469" t="s">
        <v>53</v>
      </c>
      <c r="AP53" s="469" t="s">
        <v>53</v>
      </c>
      <c r="AQ53" s="469" t="s">
        <v>53</v>
      </c>
      <c r="AR53" s="469" t="s">
        <v>54</v>
      </c>
      <c r="AS53" s="654" t="s">
        <v>70</v>
      </c>
      <c r="AT53" s="469"/>
      <c r="AU53" s="469"/>
      <c r="AV53" s="469"/>
      <c r="AW53" s="469"/>
      <c r="AX53" s="469"/>
      <c r="AY53" s="469"/>
      <c r="AZ53" s="469"/>
      <c r="BA53" s="469"/>
      <c r="BB53" s="469"/>
      <c r="BC53" s="469"/>
      <c r="BD53" s="469"/>
      <c r="BE53" s="469"/>
      <c r="BF53" s="547"/>
      <c r="BG53" s="469"/>
      <c r="BH53" s="469"/>
      <c r="BI53" s="469"/>
      <c r="BJ53" s="469"/>
      <c r="BK53" s="469"/>
      <c r="BL53" s="469"/>
      <c r="BM53" s="469"/>
      <c r="BN53" s="469"/>
      <c r="BO53" s="469"/>
      <c r="BP53" s="469"/>
      <c r="BQ53" s="469"/>
      <c r="BR53" s="469"/>
      <c r="BS53" s="634"/>
      <c r="BT53" s="547"/>
      <c r="BU53" s="547"/>
      <c r="BV53" s="547"/>
      <c r="BW53" s="547"/>
      <c r="BX53" s="547"/>
      <c r="BY53" s="547"/>
      <c r="BZ53" s="547"/>
      <c r="CA53" s="547"/>
      <c r="CB53" s="547"/>
      <c r="CC53" s="547"/>
      <c r="CD53" s="547"/>
      <c r="CE53" s="547"/>
      <c r="CF53" s="634"/>
      <c r="CG53" s="547"/>
      <c r="CH53" s="547"/>
      <c r="CI53" s="547"/>
      <c r="CJ53" s="547"/>
      <c r="CK53" s="547"/>
      <c r="CL53" s="547"/>
      <c r="CM53" s="547"/>
      <c r="CN53" s="547"/>
      <c r="CO53" s="547"/>
      <c r="CP53" s="547"/>
      <c r="CQ53" s="547"/>
      <c r="CR53" s="547"/>
      <c r="CS53" s="547"/>
      <c r="CT53" s="547"/>
      <c r="CU53" s="469"/>
      <c r="CV53" s="547">
        <v>409706.67</v>
      </c>
      <c r="CW53" s="547">
        <v>153701.32999999999</v>
      </c>
      <c r="CX53" s="547">
        <v>335912.7</v>
      </c>
      <c r="CY53" s="547"/>
      <c r="CZ53" s="547"/>
      <c r="DA53" s="547">
        <v>774210.36</v>
      </c>
      <c r="DB53" s="469"/>
      <c r="DC53" s="547">
        <v>547748.68000000005</v>
      </c>
      <c r="DD53" s="547"/>
      <c r="DE53" s="547"/>
      <c r="DF53" s="547">
        <f t="shared" si="49"/>
        <v>2221279.7400000002</v>
      </c>
      <c r="DG53" s="469">
        <v>633327.94999999995</v>
      </c>
      <c r="DH53" s="469">
        <v>416913.18</v>
      </c>
      <c r="DI53" s="469">
        <v>282923.81</v>
      </c>
      <c r="DJ53" s="469"/>
      <c r="DK53" s="469"/>
      <c r="DL53" s="469">
        <v>1250533.58</v>
      </c>
      <c r="DM53" s="469"/>
      <c r="DN53" s="469">
        <v>449860.68</v>
      </c>
      <c r="DO53" s="469"/>
      <c r="DP53" s="469"/>
      <c r="DQ53" s="469"/>
      <c r="DR53" s="469"/>
      <c r="DS53" s="1">
        <f t="shared" si="18"/>
        <v>3033559.2</v>
      </c>
    </row>
    <row r="54" spans="1:123" s="624" customFormat="1" x14ac:dyDescent="0.2">
      <c r="A54" s="755"/>
      <c r="B54" s="755"/>
      <c r="C54" s="755"/>
      <c r="D54" s="469" t="s">
        <v>2029</v>
      </c>
      <c r="E54" s="469"/>
      <c r="F54" s="755"/>
      <c r="G54" s="755"/>
      <c r="H54" s="755"/>
      <c r="I54" s="758"/>
      <c r="J54" s="758"/>
      <c r="K54" s="670"/>
      <c r="L54" s="618"/>
      <c r="M54" s="612"/>
      <c r="N54" s="612"/>
      <c r="O54" s="612"/>
      <c r="P54" s="612"/>
      <c r="Q54" s="612"/>
      <c r="R54" s="612"/>
      <c r="S54" s="612"/>
      <c r="T54" s="612"/>
      <c r="U54" s="612"/>
      <c r="V54" s="676"/>
      <c r="W54" s="612"/>
      <c r="X54" s="612"/>
      <c r="Y54" s="677"/>
      <c r="Z54" s="678"/>
      <c r="AA54" s="612"/>
      <c r="AB54" s="612"/>
      <c r="AC54" s="612"/>
      <c r="AD54" s="612"/>
      <c r="AE54" s="612"/>
      <c r="AF54" s="612"/>
      <c r="AG54" s="612"/>
      <c r="AH54" s="612"/>
      <c r="AI54" s="612"/>
      <c r="AJ54" s="679"/>
      <c r="AK54" s="617"/>
      <c r="AL54" s="658"/>
      <c r="AM54" s="660"/>
      <c r="AN54" s="469"/>
      <c r="AO54" s="469"/>
      <c r="AP54" s="469"/>
      <c r="AQ54" s="469"/>
      <c r="AR54" s="469"/>
      <c r="AS54" s="654"/>
      <c r="AT54" s="469"/>
      <c r="AU54" s="469"/>
      <c r="AV54" s="469"/>
      <c r="AW54" s="469"/>
      <c r="AX54" s="469"/>
      <c r="AY54" s="469"/>
      <c r="AZ54" s="469"/>
      <c r="BA54" s="469"/>
      <c r="BB54" s="469"/>
      <c r="BC54" s="469"/>
      <c r="BD54" s="469"/>
      <c r="BE54" s="469"/>
      <c r="BF54" s="547"/>
      <c r="BG54" s="469"/>
      <c r="BH54" s="469"/>
      <c r="BI54" s="469"/>
      <c r="BJ54" s="469"/>
      <c r="BK54" s="469"/>
      <c r="BL54" s="469"/>
      <c r="BM54" s="469"/>
      <c r="BN54" s="469"/>
      <c r="BO54" s="469"/>
      <c r="BP54" s="469"/>
      <c r="BQ54" s="469"/>
      <c r="BR54" s="469"/>
      <c r="BS54" s="634"/>
      <c r="BT54" s="547"/>
      <c r="BU54" s="547"/>
      <c r="BV54" s="547"/>
      <c r="BW54" s="547"/>
      <c r="BX54" s="547"/>
      <c r="BY54" s="547"/>
      <c r="BZ54" s="547"/>
      <c r="CA54" s="547"/>
      <c r="CB54" s="547"/>
      <c r="CC54" s="547"/>
      <c r="CD54" s="547"/>
      <c r="CE54" s="547"/>
      <c r="CF54" s="634"/>
      <c r="CG54" s="547"/>
      <c r="CH54" s="547"/>
      <c r="CI54" s="547"/>
      <c r="CJ54" s="547"/>
      <c r="CK54" s="547"/>
      <c r="CL54" s="547"/>
      <c r="CM54" s="547"/>
      <c r="CN54" s="547"/>
      <c r="CO54" s="547"/>
      <c r="CP54" s="547"/>
      <c r="CQ54" s="547"/>
      <c r="CR54" s="547"/>
      <c r="CS54" s="547"/>
      <c r="CT54" s="547"/>
      <c r="CU54" s="469"/>
      <c r="CV54" s="547"/>
      <c r="CW54" s="547"/>
      <c r="CX54" s="547"/>
      <c r="CY54" s="547"/>
      <c r="CZ54" s="547"/>
      <c r="DA54" s="547"/>
      <c r="DB54" s="469"/>
      <c r="DC54" s="547"/>
      <c r="DD54" s="547"/>
      <c r="DE54" s="547"/>
      <c r="DF54" s="547"/>
      <c r="DG54" s="469"/>
      <c r="DH54" s="469"/>
      <c r="DI54" s="469"/>
      <c r="DJ54" s="469"/>
      <c r="DK54" s="469"/>
      <c r="DL54" s="469"/>
      <c r="DM54" s="469"/>
      <c r="DN54" s="469"/>
      <c r="DO54" s="469">
        <v>1743836.4</v>
      </c>
      <c r="DP54" s="469"/>
      <c r="DQ54" s="469"/>
      <c r="DR54" s="469"/>
      <c r="DS54" s="1">
        <f t="shared" si="18"/>
        <v>1743836.4</v>
      </c>
    </row>
    <row r="55" spans="1:123" s="624" customFormat="1" ht="24" x14ac:dyDescent="0.25">
      <c r="A55" s="753" t="s">
        <v>1494</v>
      </c>
      <c r="B55" s="753" t="s">
        <v>57</v>
      </c>
      <c r="C55" s="769" t="s">
        <v>1495</v>
      </c>
      <c r="D55" s="469" t="s">
        <v>2028</v>
      </c>
      <c r="E55" s="469" t="s">
        <v>1514</v>
      </c>
      <c r="F55" s="753" t="s">
        <v>49</v>
      </c>
      <c r="G55" s="753" t="s">
        <v>284</v>
      </c>
      <c r="H55" s="753" t="s">
        <v>61</v>
      </c>
      <c r="I55" s="756">
        <v>45169</v>
      </c>
      <c r="J55" s="756">
        <v>46265</v>
      </c>
      <c r="K55" s="670">
        <v>5478788</v>
      </c>
      <c r="L55" s="618"/>
      <c r="M55" s="612">
        <f t="shared" si="32"/>
        <v>0</v>
      </c>
      <c r="N55" s="612">
        <f t="shared" si="33"/>
        <v>0</v>
      </c>
      <c r="O55" s="612">
        <f t="shared" si="34"/>
        <v>5478788</v>
      </c>
      <c r="P55" s="612">
        <f t="shared" si="35"/>
        <v>0</v>
      </c>
      <c r="Q55" s="612">
        <f t="shared" si="36"/>
        <v>0</v>
      </c>
      <c r="R55" s="612">
        <f t="shared" si="37"/>
        <v>0</v>
      </c>
      <c r="S55" s="612">
        <f t="shared" si="38"/>
        <v>5478788</v>
      </c>
      <c r="T55" s="612">
        <f t="shared" si="39"/>
        <v>0</v>
      </c>
      <c r="U55" s="612">
        <f t="shared" si="40"/>
        <v>0</v>
      </c>
      <c r="V55" s="676">
        <f>T55+U55</f>
        <v>0</v>
      </c>
      <c r="W55" s="612">
        <f t="shared" si="41"/>
        <v>5478788</v>
      </c>
      <c r="X55" s="612">
        <f t="shared" si="42"/>
        <v>0</v>
      </c>
      <c r="Y55" s="677">
        <f>CS55</f>
        <v>0</v>
      </c>
      <c r="Z55" s="678">
        <f>X55+Y55</f>
        <v>0</v>
      </c>
      <c r="AA55" s="612">
        <f t="shared" si="43"/>
        <v>5478788</v>
      </c>
      <c r="AB55" s="612">
        <f t="shared" si="44"/>
        <v>0</v>
      </c>
      <c r="AC55" s="612">
        <f t="shared" si="45"/>
        <v>901120.38100000005</v>
      </c>
      <c r="AD55" s="612">
        <f t="shared" si="46"/>
        <v>901120.38100000005</v>
      </c>
      <c r="AE55" s="612">
        <f t="shared" si="47"/>
        <v>4577667.6189999999</v>
      </c>
      <c r="AF55" s="612"/>
      <c r="AG55" s="612"/>
      <c r="AH55" s="612"/>
      <c r="AI55" s="612"/>
      <c r="AJ55" s="679">
        <v>0</v>
      </c>
      <c r="AK55" s="617">
        <v>36</v>
      </c>
      <c r="AL55" s="658" t="s">
        <v>1304</v>
      </c>
      <c r="AM55" s="469">
        <v>0</v>
      </c>
      <c r="AN55" s="469">
        <v>0</v>
      </c>
      <c r="AO55" s="469" t="s">
        <v>53</v>
      </c>
      <c r="AP55" s="469" t="s">
        <v>53</v>
      </c>
      <c r="AQ55" s="469" t="s">
        <v>53</v>
      </c>
      <c r="AR55" s="469" t="s">
        <v>54</v>
      </c>
      <c r="AS55" s="654" t="s">
        <v>70</v>
      </c>
      <c r="AT55" s="469"/>
      <c r="AU55" s="469"/>
      <c r="AV55" s="469"/>
      <c r="AW55" s="469"/>
      <c r="AX55" s="469"/>
      <c r="AY55" s="469"/>
      <c r="AZ55" s="469"/>
      <c r="BA55" s="469"/>
      <c r="BB55" s="469"/>
      <c r="BC55" s="469"/>
      <c r="BD55" s="469"/>
      <c r="BE55" s="469"/>
      <c r="BF55" s="547"/>
      <c r="BG55" s="469"/>
      <c r="BH55" s="469"/>
      <c r="BI55" s="469"/>
      <c r="BJ55" s="469"/>
      <c r="BK55" s="469"/>
      <c r="BL55" s="469"/>
      <c r="BM55" s="469"/>
      <c r="BN55" s="469"/>
      <c r="BO55" s="469"/>
      <c r="BP55" s="469"/>
      <c r="BQ55" s="469"/>
      <c r="BR55" s="469"/>
      <c r="BS55" s="634"/>
      <c r="BT55" s="547"/>
      <c r="BU55" s="547"/>
      <c r="BV55" s="547"/>
      <c r="BW55" s="547"/>
      <c r="BX55" s="547"/>
      <c r="BY55" s="547"/>
      <c r="BZ55" s="547"/>
      <c r="CA55" s="547"/>
      <c r="CB55" s="547"/>
      <c r="CC55" s="547"/>
      <c r="CD55" s="547"/>
      <c r="CE55" s="547"/>
      <c r="CF55" s="634"/>
      <c r="CG55" s="547"/>
      <c r="CH55" s="547"/>
      <c r="CI55" s="547"/>
      <c r="CJ55" s="547"/>
      <c r="CK55" s="547"/>
      <c r="CL55" s="547"/>
      <c r="CM55" s="547"/>
      <c r="CN55" s="547"/>
      <c r="CO55" s="547"/>
      <c r="CP55" s="547"/>
      <c r="CQ55" s="547"/>
      <c r="CR55" s="547"/>
      <c r="CS55" s="547"/>
      <c r="CT55" s="547"/>
      <c r="CU55" s="547">
        <v>0</v>
      </c>
      <c r="CV55" s="547">
        <v>181023.57</v>
      </c>
      <c r="CW55" s="699">
        <v>720096.8110000001</v>
      </c>
      <c r="CX55" s="547"/>
      <c r="CY55" s="547">
        <v>0</v>
      </c>
      <c r="CZ55" s="547"/>
      <c r="DA55" s="547">
        <v>0</v>
      </c>
      <c r="DB55" s="547"/>
      <c r="DC55" s="547">
        <v>0</v>
      </c>
      <c r="DD55" s="547"/>
      <c r="DE55" s="547"/>
      <c r="DF55" s="547">
        <f t="shared" si="49"/>
        <v>901120.38100000005</v>
      </c>
      <c r="DG55" s="469"/>
      <c r="DH55" s="469"/>
      <c r="DI55" s="469"/>
      <c r="DJ55" s="469"/>
      <c r="DK55" s="469"/>
      <c r="DL55" s="469"/>
      <c r="DM55" s="469"/>
      <c r="DN55" s="469"/>
      <c r="DO55" s="469"/>
      <c r="DP55" s="469"/>
      <c r="DQ55" s="469"/>
      <c r="DR55" s="469"/>
      <c r="DS55" s="1">
        <f t="shared" ref="DS55:DS96" si="53">SUM(DG55:DR55)</f>
        <v>0</v>
      </c>
    </row>
    <row r="56" spans="1:123" s="624" customFormat="1" ht="24" x14ac:dyDescent="0.2">
      <c r="A56" s="754"/>
      <c r="B56" s="754"/>
      <c r="C56" s="769"/>
      <c r="D56" s="469" t="s">
        <v>2027</v>
      </c>
      <c r="E56" s="469" t="s">
        <v>1515</v>
      </c>
      <c r="F56" s="754"/>
      <c r="G56" s="754"/>
      <c r="H56" s="754"/>
      <c r="I56" s="757"/>
      <c r="J56" s="757"/>
      <c r="K56" s="670">
        <f>K55*14/100</f>
        <v>767030.32</v>
      </c>
      <c r="L56" s="618"/>
      <c r="M56" s="612">
        <f t="shared" si="32"/>
        <v>0</v>
      </c>
      <c r="N56" s="612">
        <f t="shared" si="33"/>
        <v>0</v>
      </c>
      <c r="O56" s="612">
        <f t="shared" si="34"/>
        <v>767030.32</v>
      </c>
      <c r="P56" s="612">
        <f t="shared" si="35"/>
        <v>0</v>
      </c>
      <c r="Q56" s="612">
        <f t="shared" si="36"/>
        <v>0</v>
      </c>
      <c r="R56" s="612">
        <f t="shared" si="37"/>
        <v>0</v>
      </c>
      <c r="S56" s="612">
        <f t="shared" si="38"/>
        <v>767030.32</v>
      </c>
      <c r="T56" s="612">
        <f t="shared" si="39"/>
        <v>0</v>
      </c>
      <c r="U56" s="612">
        <f t="shared" si="40"/>
        <v>0</v>
      </c>
      <c r="V56" s="676">
        <f>T56+U56</f>
        <v>0</v>
      </c>
      <c r="W56" s="612">
        <f t="shared" si="41"/>
        <v>767030.32</v>
      </c>
      <c r="X56" s="612">
        <f t="shared" si="42"/>
        <v>0</v>
      </c>
      <c r="Y56" s="677">
        <f>CS56</f>
        <v>0</v>
      </c>
      <c r="Z56" s="678">
        <f>X56+Y56</f>
        <v>0</v>
      </c>
      <c r="AA56" s="612">
        <f t="shared" si="43"/>
        <v>767030.32</v>
      </c>
      <c r="AB56" s="612">
        <f t="shared" si="44"/>
        <v>0</v>
      </c>
      <c r="AC56" s="612">
        <f t="shared" si="45"/>
        <v>767030.32000000007</v>
      </c>
      <c r="AD56" s="612">
        <f t="shared" si="46"/>
        <v>767030.32000000007</v>
      </c>
      <c r="AE56" s="612">
        <f t="shared" si="47"/>
        <v>0</v>
      </c>
      <c r="AF56" s="612"/>
      <c r="AG56" s="612"/>
      <c r="AH56" s="612"/>
      <c r="AI56" s="612"/>
      <c r="AJ56" s="679">
        <v>0</v>
      </c>
      <c r="AK56" s="617">
        <v>36</v>
      </c>
      <c r="AL56" s="658" t="s">
        <v>1304</v>
      </c>
      <c r="AM56" s="469">
        <v>0</v>
      </c>
      <c r="AN56" s="469">
        <v>0</v>
      </c>
      <c r="AO56" s="469" t="s">
        <v>53</v>
      </c>
      <c r="AP56" s="469" t="s">
        <v>53</v>
      </c>
      <c r="AQ56" s="469" t="s">
        <v>53</v>
      </c>
      <c r="AR56" s="469" t="s">
        <v>54</v>
      </c>
      <c r="AS56" s="654" t="s">
        <v>70</v>
      </c>
      <c r="AT56" s="469"/>
      <c r="AU56" s="469"/>
      <c r="AV56" s="469"/>
      <c r="AW56" s="469"/>
      <c r="AX56" s="469"/>
      <c r="AY56" s="469"/>
      <c r="AZ56" s="469"/>
      <c r="BA56" s="469"/>
      <c r="BB56" s="469"/>
      <c r="BC56" s="469"/>
      <c r="BD56" s="469"/>
      <c r="BE56" s="469"/>
      <c r="BF56" s="547"/>
      <c r="BG56" s="469"/>
      <c r="BH56" s="469"/>
      <c r="BI56" s="469"/>
      <c r="BJ56" s="469"/>
      <c r="BK56" s="469"/>
      <c r="BL56" s="469"/>
      <c r="BM56" s="469"/>
      <c r="BN56" s="469"/>
      <c r="BO56" s="469"/>
      <c r="BP56" s="469"/>
      <c r="BQ56" s="469"/>
      <c r="BR56" s="469"/>
      <c r="BS56" s="634"/>
      <c r="BT56" s="547"/>
      <c r="BU56" s="547"/>
      <c r="BV56" s="547"/>
      <c r="BW56" s="547"/>
      <c r="BX56" s="547"/>
      <c r="BY56" s="547"/>
      <c r="BZ56" s="547"/>
      <c r="CA56" s="547"/>
      <c r="CB56" s="547"/>
      <c r="CC56" s="547"/>
      <c r="CD56" s="547"/>
      <c r="CE56" s="547"/>
      <c r="CF56" s="634"/>
      <c r="CG56" s="547"/>
      <c r="CH56" s="547"/>
      <c r="CI56" s="547"/>
      <c r="CJ56" s="547"/>
      <c r="CK56" s="547"/>
      <c r="CL56" s="547"/>
      <c r="CM56" s="547"/>
      <c r="CN56" s="547"/>
      <c r="CO56" s="547"/>
      <c r="CP56" s="547"/>
      <c r="CQ56" s="547"/>
      <c r="CR56" s="547"/>
      <c r="CS56" s="547"/>
      <c r="CT56" s="547">
        <v>512052.01</v>
      </c>
      <c r="CU56" s="469"/>
      <c r="CV56" s="547"/>
      <c r="CW56" s="547"/>
      <c r="CX56" s="547"/>
      <c r="CY56" s="547"/>
      <c r="CZ56" s="547"/>
      <c r="DA56" s="547"/>
      <c r="DB56" s="547"/>
      <c r="DC56" s="547"/>
      <c r="DD56" s="547">
        <v>254978.31</v>
      </c>
      <c r="DE56" s="547"/>
      <c r="DF56" s="547">
        <f>SUM(CT56:DE56)</f>
        <v>767030.32000000007</v>
      </c>
      <c r="DG56" s="469"/>
      <c r="DH56" s="469"/>
      <c r="DI56" s="469"/>
      <c r="DJ56" s="469"/>
      <c r="DK56" s="469"/>
      <c r="DL56" s="469"/>
      <c r="DM56" s="469"/>
      <c r="DN56" s="469"/>
      <c r="DO56" s="469"/>
      <c r="DP56" s="469"/>
      <c r="DQ56" s="469"/>
      <c r="DR56" s="469"/>
      <c r="DS56" s="1">
        <f t="shared" si="53"/>
        <v>0</v>
      </c>
    </row>
    <row r="57" spans="1:123" s="624" customFormat="1" x14ac:dyDescent="0.2">
      <c r="A57" s="754"/>
      <c r="B57" s="754"/>
      <c r="C57" s="769"/>
      <c r="D57" s="469" t="s">
        <v>2026</v>
      </c>
      <c r="E57" s="469" t="s">
        <v>1895</v>
      </c>
      <c r="F57" s="754"/>
      <c r="G57" s="754"/>
      <c r="H57" s="754"/>
      <c r="I57" s="757"/>
      <c r="J57" s="757"/>
      <c r="K57" s="670"/>
      <c r="L57" s="618"/>
      <c r="M57" s="612">
        <f t="shared" si="32"/>
        <v>0</v>
      </c>
      <c r="N57" s="612">
        <f t="shared" si="33"/>
        <v>0</v>
      </c>
      <c r="O57" s="612">
        <f t="shared" si="34"/>
        <v>0</v>
      </c>
      <c r="P57" s="612">
        <f t="shared" si="35"/>
        <v>0</v>
      </c>
      <c r="Q57" s="612">
        <f t="shared" si="36"/>
        <v>0</v>
      </c>
      <c r="R57" s="612">
        <f t="shared" si="37"/>
        <v>0</v>
      </c>
      <c r="S57" s="612">
        <f t="shared" si="38"/>
        <v>0</v>
      </c>
      <c r="T57" s="612">
        <f t="shared" si="39"/>
        <v>0</v>
      </c>
      <c r="U57" s="612">
        <f t="shared" si="40"/>
        <v>0</v>
      </c>
      <c r="V57" s="676"/>
      <c r="W57" s="612">
        <f t="shared" si="41"/>
        <v>0</v>
      </c>
      <c r="X57" s="612">
        <f t="shared" si="42"/>
        <v>0</v>
      </c>
      <c r="Y57" s="677"/>
      <c r="Z57" s="678"/>
      <c r="AA57" s="612">
        <f t="shared" si="43"/>
        <v>0</v>
      </c>
      <c r="AB57" s="612">
        <f t="shared" si="44"/>
        <v>0</v>
      </c>
      <c r="AC57" s="612">
        <f t="shared" si="45"/>
        <v>1702938.06</v>
      </c>
      <c r="AD57" s="612">
        <f t="shared" si="46"/>
        <v>1702938.06</v>
      </c>
      <c r="AE57" s="612">
        <f t="shared" si="47"/>
        <v>-1702938.06</v>
      </c>
      <c r="AF57" s="612"/>
      <c r="AG57" s="612"/>
      <c r="AH57" s="612"/>
      <c r="AI57" s="612"/>
      <c r="AJ57" s="679"/>
      <c r="AK57" s="617"/>
      <c r="AL57" s="658"/>
      <c r="AM57" s="469"/>
      <c r="AN57" s="469"/>
      <c r="AO57" s="469"/>
      <c r="AP57" s="469"/>
      <c r="AQ57" s="469"/>
      <c r="AR57" s="469"/>
      <c r="AS57" s="654"/>
      <c r="AT57" s="469"/>
      <c r="AU57" s="469"/>
      <c r="AV57" s="469"/>
      <c r="AW57" s="469"/>
      <c r="AX57" s="469"/>
      <c r="AY57" s="469"/>
      <c r="AZ57" s="469"/>
      <c r="BA57" s="469"/>
      <c r="BB57" s="469"/>
      <c r="BC57" s="469"/>
      <c r="BD57" s="469"/>
      <c r="BE57" s="469"/>
      <c r="BF57" s="547"/>
      <c r="BG57" s="469"/>
      <c r="BH57" s="469"/>
      <c r="BI57" s="469"/>
      <c r="BJ57" s="469"/>
      <c r="BK57" s="469"/>
      <c r="BL57" s="469"/>
      <c r="BM57" s="469"/>
      <c r="BN57" s="469"/>
      <c r="BO57" s="469"/>
      <c r="BP57" s="469"/>
      <c r="BQ57" s="469"/>
      <c r="BR57" s="469"/>
      <c r="BS57" s="634"/>
      <c r="BT57" s="547"/>
      <c r="BU57" s="547"/>
      <c r="BV57" s="547"/>
      <c r="BW57" s="547"/>
      <c r="BX57" s="547"/>
      <c r="BY57" s="547"/>
      <c r="BZ57" s="547"/>
      <c r="CA57" s="547"/>
      <c r="CB57" s="547"/>
      <c r="CC57" s="547"/>
      <c r="CD57" s="547"/>
      <c r="CE57" s="547"/>
      <c r="CF57" s="634"/>
      <c r="CG57" s="547"/>
      <c r="CH57" s="547"/>
      <c r="CI57" s="547"/>
      <c r="CJ57" s="547"/>
      <c r="CK57" s="547"/>
      <c r="CL57" s="547"/>
      <c r="CM57" s="547"/>
      <c r="CN57" s="547"/>
      <c r="CO57" s="547"/>
      <c r="CP57" s="547"/>
      <c r="CQ57" s="547"/>
      <c r="CR57" s="547"/>
      <c r="CS57" s="547"/>
      <c r="CT57" s="547"/>
      <c r="CU57" s="547"/>
      <c r="CV57" s="469"/>
      <c r="CW57" s="547"/>
      <c r="CX57" s="547">
        <v>0</v>
      </c>
      <c r="CY57" s="547">
        <v>379100.84</v>
      </c>
      <c r="CZ57" s="547">
        <v>312465.46999999997</v>
      </c>
      <c r="DA57" s="547">
        <v>448264.47</v>
      </c>
      <c r="DB57" s="547"/>
      <c r="DC57" s="547">
        <v>563107.28</v>
      </c>
      <c r="DD57" s="547"/>
      <c r="DE57" s="547"/>
      <c r="DF57" s="547">
        <f t="shared" si="49"/>
        <v>1702938.06</v>
      </c>
      <c r="DG57" s="469">
        <v>564375.15</v>
      </c>
      <c r="DH57" s="469"/>
      <c r="DI57" s="469"/>
      <c r="DJ57" s="469"/>
      <c r="DK57" s="469"/>
      <c r="DL57" s="469"/>
      <c r="DM57" s="469"/>
      <c r="DN57" s="469"/>
      <c r="DO57" s="469"/>
      <c r="DP57" s="469"/>
      <c r="DQ57" s="469"/>
      <c r="DR57" s="469"/>
      <c r="DS57" s="1">
        <f t="shared" si="53"/>
        <v>564375.15</v>
      </c>
    </row>
    <row r="58" spans="1:123" s="624" customFormat="1" x14ac:dyDescent="0.2">
      <c r="A58" s="755"/>
      <c r="B58" s="755"/>
      <c r="C58" s="769"/>
      <c r="D58" s="469" t="s">
        <v>2025</v>
      </c>
      <c r="E58" s="469"/>
      <c r="F58" s="755"/>
      <c r="G58" s="755"/>
      <c r="H58" s="755"/>
      <c r="I58" s="758"/>
      <c r="J58" s="758"/>
      <c r="K58" s="670"/>
      <c r="L58" s="618"/>
      <c r="M58" s="612"/>
      <c r="N58" s="612"/>
      <c r="O58" s="612"/>
      <c r="P58" s="612"/>
      <c r="Q58" s="612"/>
      <c r="R58" s="612"/>
      <c r="S58" s="612"/>
      <c r="T58" s="612"/>
      <c r="U58" s="612"/>
      <c r="V58" s="676"/>
      <c r="W58" s="612"/>
      <c r="X58" s="612"/>
      <c r="Y58" s="677"/>
      <c r="Z58" s="678"/>
      <c r="AA58" s="612"/>
      <c r="AB58" s="612"/>
      <c r="AC58" s="612"/>
      <c r="AD58" s="612"/>
      <c r="AE58" s="612"/>
      <c r="AF58" s="612"/>
      <c r="AG58" s="612"/>
      <c r="AH58" s="612"/>
      <c r="AI58" s="612"/>
      <c r="AJ58" s="679"/>
      <c r="AK58" s="617"/>
      <c r="AL58" s="658"/>
      <c r="AM58" s="469"/>
      <c r="AN58" s="469"/>
      <c r="AO58" s="469"/>
      <c r="AP58" s="469"/>
      <c r="AQ58" s="469"/>
      <c r="AR58" s="469"/>
      <c r="AS58" s="654"/>
      <c r="AT58" s="469"/>
      <c r="AU58" s="469"/>
      <c r="AV58" s="469"/>
      <c r="AW58" s="469"/>
      <c r="AX58" s="469"/>
      <c r="AY58" s="469"/>
      <c r="AZ58" s="469"/>
      <c r="BA58" s="469"/>
      <c r="BB58" s="469"/>
      <c r="BC58" s="469"/>
      <c r="BD58" s="469"/>
      <c r="BE58" s="469"/>
      <c r="BF58" s="547"/>
      <c r="BG58" s="469"/>
      <c r="BH58" s="469"/>
      <c r="BI58" s="469"/>
      <c r="BJ58" s="469"/>
      <c r="BK58" s="469"/>
      <c r="BL58" s="469"/>
      <c r="BM58" s="469"/>
      <c r="BN58" s="469"/>
      <c r="BO58" s="469"/>
      <c r="BP58" s="469"/>
      <c r="BQ58" s="469"/>
      <c r="BR58" s="469"/>
      <c r="BS58" s="634"/>
      <c r="BT58" s="547"/>
      <c r="BU58" s="547"/>
      <c r="BV58" s="547"/>
      <c r="BW58" s="547"/>
      <c r="BX58" s="547"/>
      <c r="BY58" s="547"/>
      <c r="BZ58" s="547"/>
      <c r="CA58" s="547"/>
      <c r="CB58" s="547"/>
      <c r="CC58" s="547"/>
      <c r="CD58" s="547"/>
      <c r="CE58" s="547"/>
      <c r="CF58" s="634"/>
      <c r="CG58" s="547"/>
      <c r="CH58" s="547"/>
      <c r="CI58" s="547"/>
      <c r="CJ58" s="547"/>
      <c r="CK58" s="547"/>
      <c r="CL58" s="547"/>
      <c r="CM58" s="547"/>
      <c r="CN58" s="547"/>
      <c r="CO58" s="547"/>
      <c r="CP58" s="547"/>
      <c r="CQ58" s="547"/>
      <c r="CR58" s="547"/>
      <c r="CS58" s="547"/>
      <c r="CT58" s="547"/>
      <c r="CU58" s="547"/>
      <c r="CV58" s="469"/>
      <c r="CW58" s="547"/>
      <c r="CX58" s="547"/>
      <c r="CY58" s="547"/>
      <c r="CZ58" s="547"/>
      <c r="DA58" s="547"/>
      <c r="DB58" s="547"/>
      <c r="DC58" s="547"/>
      <c r="DD58" s="547"/>
      <c r="DE58" s="547"/>
      <c r="DF58" s="547"/>
      <c r="DG58" s="469"/>
      <c r="DH58" s="469"/>
      <c r="DI58" s="469"/>
      <c r="DJ58" s="469"/>
      <c r="DK58" s="469">
        <v>1565944.74</v>
      </c>
      <c r="DL58" s="469"/>
      <c r="DM58" s="469"/>
      <c r="DN58" s="683">
        <f>273804.28+194098.64</f>
        <v>467902.92000000004</v>
      </c>
      <c r="DO58" s="469"/>
      <c r="DP58" s="469"/>
      <c r="DQ58" s="469"/>
      <c r="DR58" s="469"/>
      <c r="DS58" s="1">
        <f t="shared" si="53"/>
        <v>2033847.6600000001</v>
      </c>
    </row>
    <row r="59" spans="1:123" ht="24" hidden="1" x14ac:dyDescent="0.2">
      <c r="A59" s="763" t="s">
        <v>1494</v>
      </c>
      <c r="B59" s="765" t="s">
        <v>107</v>
      </c>
      <c r="C59" s="762" t="s">
        <v>1496</v>
      </c>
      <c r="D59" s="4" t="s">
        <v>307</v>
      </c>
      <c r="E59" s="20" t="s">
        <v>308</v>
      </c>
      <c r="F59" s="763" t="s">
        <v>49</v>
      </c>
      <c r="G59" s="763" t="s">
        <v>284</v>
      </c>
      <c r="H59" s="775" t="s">
        <v>61</v>
      </c>
      <c r="I59" s="773">
        <v>45169</v>
      </c>
      <c r="J59" s="773">
        <v>46265</v>
      </c>
      <c r="K59" s="470">
        <v>4998935.29</v>
      </c>
      <c r="L59" s="15"/>
      <c r="M59" s="136">
        <f t="shared" si="32"/>
        <v>0</v>
      </c>
      <c r="N59" s="136">
        <f t="shared" si="33"/>
        <v>0</v>
      </c>
      <c r="O59" s="136">
        <f t="shared" si="34"/>
        <v>4998935.29</v>
      </c>
      <c r="P59" s="136">
        <f t="shared" si="35"/>
        <v>0</v>
      </c>
      <c r="Q59" s="136">
        <f t="shared" si="36"/>
        <v>0</v>
      </c>
      <c r="R59" s="136">
        <f t="shared" si="37"/>
        <v>0</v>
      </c>
      <c r="S59" s="136">
        <f t="shared" si="38"/>
        <v>4998935.29</v>
      </c>
      <c r="T59" s="136">
        <f t="shared" si="39"/>
        <v>0</v>
      </c>
      <c r="U59" s="136">
        <f t="shared" si="40"/>
        <v>0</v>
      </c>
      <c r="V59" s="467">
        <f t="shared" ref="V59:V81" si="54">T59+U59</f>
        <v>0</v>
      </c>
      <c r="W59" s="136">
        <f t="shared" si="41"/>
        <v>4998935.29</v>
      </c>
      <c r="X59" s="136">
        <f t="shared" si="42"/>
        <v>0</v>
      </c>
      <c r="Y59" s="468">
        <f t="shared" ref="Y59:Y81" si="55">CS59</f>
        <v>0</v>
      </c>
      <c r="Z59" s="18">
        <f t="shared" ref="Z59:Z81" si="56">X59+Y59</f>
        <v>0</v>
      </c>
      <c r="AA59" s="136">
        <f t="shared" si="43"/>
        <v>4998935.29</v>
      </c>
      <c r="AB59" s="136">
        <f t="shared" si="44"/>
        <v>0</v>
      </c>
      <c r="AC59" s="136">
        <f t="shared" si="45"/>
        <v>4745488.8900000006</v>
      </c>
      <c r="AD59" s="136">
        <f t="shared" si="46"/>
        <v>4745488.8900000006</v>
      </c>
      <c r="AE59" s="136">
        <f t="shared" si="47"/>
        <v>253446.39999999944</v>
      </c>
      <c r="AF59" s="136"/>
      <c r="AG59" s="136"/>
      <c r="AH59" s="136"/>
      <c r="AI59" s="136"/>
      <c r="AJ59" s="223">
        <v>0</v>
      </c>
      <c r="AK59" s="46">
        <v>36</v>
      </c>
      <c r="AL59" s="104" t="s">
        <v>1304</v>
      </c>
      <c r="AM59" s="1">
        <v>0</v>
      </c>
      <c r="AN59" s="1">
        <v>0</v>
      </c>
      <c r="AO59" s="1" t="s">
        <v>53</v>
      </c>
      <c r="AP59" s="1" t="s">
        <v>53</v>
      </c>
      <c r="AQ59" s="1" t="s">
        <v>53</v>
      </c>
      <c r="AR59" s="1" t="s">
        <v>54</v>
      </c>
      <c r="AS59" s="141" t="s">
        <v>70</v>
      </c>
      <c r="AT59" s="1"/>
      <c r="AU59" s="1"/>
      <c r="AV59" s="1"/>
      <c r="AW59" s="1"/>
      <c r="AX59" s="1"/>
      <c r="AY59" s="1"/>
      <c r="AZ59" s="1"/>
      <c r="BA59" s="1"/>
      <c r="BB59" s="1"/>
      <c r="BC59" s="1"/>
      <c r="BD59" s="1"/>
      <c r="BE59" s="1"/>
      <c r="BF59" s="42"/>
      <c r="BG59" s="1"/>
      <c r="BH59" s="1"/>
      <c r="BI59" s="1"/>
      <c r="BJ59" s="1"/>
      <c r="BK59" s="1"/>
      <c r="BL59" s="1"/>
      <c r="BM59" s="1"/>
      <c r="BN59" s="1"/>
      <c r="BO59" s="1"/>
      <c r="BP59" s="1"/>
      <c r="BQ59" s="1"/>
      <c r="BR59" s="1"/>
      <c r="BS59" s="242"/>
      <c r="BT59" s="42"/>
      <c r="BU59" s="42"/>
      <c r="BV59" s="42"/>
      <c r="BW59" s="42"/>
      <c r="BX59" s="42"/>
      <c r="BY59" s="42"/>
      <c r="BZ59" s="42"/>
      <c r="CA59" s="42"/>
      <c r="CB59" s="42"/>
      <c r="CC59" s="42"/>
      <c r="CD59" s="42"/>
      <c r="CE59" s="42"/>
      <c r="CF59" s="242"/>
      <c r="CG59" s="42"/>
      <c r="CH59" s="42"/>
      <c r="CI59" s="42"/>
      <c r="CJ59" s="42"/>
      <c r="CK59" s="42"/>
      <c r="CL59" s="42"/>
      <c r="CM59" s="42"/>
      <c r="CN59" s="42"/>
      <c r="CO59" s="42"/>
      <c r="CP59" s="42"/>
      <c r="CQ59" s="42"/>
      <c r="CR59" s="42"/>
      <c r="CS59" s="42"/>
      <c r="CT59" s="42">
        <v>0</v>
      </c>
      <c r="CU59" s="1"/>
      <c r="CV59" s="42">
        <v>611654.16</v>
      </c>
      <c r="CW59" s="42">
        <v>985544.42</v>
      </c>
      <c r="CX59" s="42">
        <v>952104</v>
      </c>
      <c r="CY59" s="42">
        <v>1025692.62</v>
      </c>
      <c r="CZ59" s="42">
        <v>318403.40000000002</v>
      </c>
      <c r="DA59" s="42">
        <v>852090.29</v>
      </c>
      <c r="DB59" s="42"/>
      <c r="DC59" s="42"/>
      <c r="DD59" s="42"/>
      <c r="DE59" s="42"/>
      <c r="DF59" s="42">
        <f t="shared" si="49"/>
        <v>4745488.8900000006</v>
      </c>
      <c r="DG59" s="1"/>
      <c r="DH59" s="1"/>
      <c r="DI59" s="1"/>
      <c r="DJ59" s="1"/>
      <c r="DK59" s="1"/>
      <c r="DL59" s="1"/>
      <c r="DM59" s="1"/>
      <c r="DN59" s="1"/>
      <c r="DO59" s="1"/>
      <c r="DP59" s="1"/>
      <c r="DQ59" s="1"/>
      <c r="DR59" s="1"/>
      <c r="DS59" s="1">
        <f t="shared" si="53"/>
        <v>0</v>
      </c>
    </row>
    <row r="60" spans="1:123" ht="24" hidden="1" x14ac:dyDescent="0.2">
      <c r="A60" s="763"/>
      <c r="B60" s="765"/>
      <c r="C60" s="762"/>
      <c r="D60" s="4" t="s">
        <v>1362</v>
      </c>
      <c r="E60" s="1" t="s">
        <v>1515</v>
      </c>
      <c r="F60" s="763"/>
      <c r="G60" s="763"/>
      <c r="H60" s="775"/>
      <c r="I60" s="773"/>
      <c r="J60" s="773"/>
      <c r="K60" s="470">
        <f>K59*14/100</f>
        <v>699850.94059999997</v>
      </c>
      <c r="L60" s="15"/>
      <c r="M60" s="136">
        <f t="shared" si="32"/>
        <v>0</v>
      </c>
      <c r="N60" s="136">
        <f t="shared" si="33"/>
        <v>0</v>
      </c>
      <c r="O60" s="136">
        <f t="shared" si="34"/>
        <v>699850.94059999997</v>
      </c>
      <c r="P60" s="136">
        <f t="shared" si="35"/>
        <v>0</v>
      </c>
      <c r="Q60" s="136">
        <f t="shared" si="36"/>
        <v>0</v>
      </c>
      <c r="R60" s="136">
        <f t="shared" si="37"/>
        <v>0</v>
      </c>
      <c r="S60" s="136">
        <f t="shared" si="38"/>
        <v>699850.94059999997</v>
      </c>
      <c r="T60" s="136">
        <f t="shared" si="39"/>
        <v>0</v>
      </c>
      <c r="U60" s="136">
        <f t="shared" si="40"/>
        <v>0</v>
      </c>
      <c r="V60" s="467">
        <f t="shared" si="54"/>
        <v>0</v>
      </c>
      <c r="W60" s="136">
        <f t="shared" si="41"/>
        <v>699850.94059999997</v>
      </c>
      <c r="X60" s="136">
        <f t="shared" si="42"/>
        <v>0</v>
      </c>
      <c r="Y60" s="468">
        <f t="shared" si="55"/>
        <v>0</v>
      </c>
      <c r="Z60" s="18">
        <f t="shared" si="56"/>
        <v>0</v>
      </c>
      <c r="AA60" s="136">
        <f t="shared" si="43"/>
        <v>699850.94059999997</v>
      </c>
      <c r="AB60" s="136">
        <f t="shared" si="44"/>
        <v>0</v>
      </c>
      <c r="AC60" s="136">
        <f t="shared" si="45"/>
        <v>779241.64</v>
      </c>
      <c r="AD60" s="136">
        <f t="shared" si="46"/>
        <v>779241.64</v>
      </c>
      <c r="AE60" s="136">
        <f t="shared" si="47"/>
        <v>-79390.699400000041</v>
      </c>
      <c r="AF60" s="136"/>
      <c r="AG60" s="136"/>
      <c r="AH60" s="136"/>
      <c r="AI60" s="136"/>
      <c r="AJ60" s="223">
        <v>0</v>
      </c>
      <c r="AK60" s="46">
        <v>36</v>
      </c>
      <c r="AL60" s="104" t="s">
        <v>1304</v>
      </c>
      <c r="AM60" s="1">
        <v>0</v>
      </c>
      <c r="AN60" s="1">
        <v>0</v>
      </c>
      <c r="AO60" s="1" t="s">
        <v>53</v>
      </c>
      <c r="AP60" s="1" t="s">
        <v>53</v>
      </c>
      <c r="AQ60" s="1" t="s">
        <v>53</v>
      </c>
      <c r="AR60" s="1" t="s">
        <v>54</v>
      </c>
      <c r="AS60" s="141" t="s">
        <v>70</v>
      </c>
      <c r="AT60" s="1"/>
      <c r="AU60" s="1"/>
      <c r="AV60" s="1"/>
      <c r="AW60" s="1"/>
      <c r="AX60" s="1"/>
      <c r="AY60" s="1"/>
      <c r="AZ60" s="1"/>
      <c r="BA60" s="1"/>
      <c r="BB60" s="1"/>
      <c r="BC60" s="1"/>
      <c r="BD60" s="1"/>
      <c r="BE60" s="1"/>
      <c r="BF60" s="42"/>
      <c r="BG60" s="1"/>
      <c r="BH60" s="1"/>
      <c r="BI60" s="1"/>
      <c r="BJ60" s="1"/>
      <c r="BK60" s="1"/>
      <c r="BL60" s="1"/>
      <c r="BM60" s="1"/>
      <c r="BN60" s="1"/>
      <c r="BO60" s="1"/>
      <c r="BP60" s="1"/>
      <c r="BQ60" s="1"/>
      <c r="BR60" s="1"/>
      <c r="BS60" s="242"/>
      <c r="BT60" s="42"/>
      <c r="BU60" s="42"/>
      <c r="BV60" s="42"/>
      <c r="BW60" s="42"/>
      <c r="BX60" s="42"/>
      <c r="BY60" s="42"/>
      <c r="BZ60" s="42"/>
      <c r="CA60" s="42"/>
      <c r="CB60" s="42"/>
      <c r="CC60" s="42"/>
      <c r="CD60" s="42"/>
      <c r="CE60" s="42"/>
      <c r="CF60" s="242"/>
      <c r="CG60" s="42"/>
      <c r="CH60" s="42"/>
      <c r="CI60" s="42"/>
      <c r="CJ60" s="42"/>
      <c r="CK60" s="42"/>
      <c r="CL60" s="42"/>
      <c r="CM60" s="42"/>
      <c r="CN60" s="42"/>
      <c r="CO60" s="42"/>
      <c r="CP60" s="42"/>
      <c r="CQ60" s="42"/>
      <c r="CR60" s="42"/>
      <c r="CS60" s="42"/>
      <c r="CT60" s="42">
        <v>512052.01</v>
      </c>
      <c r="CU60" s="1"/>
      <c r="CV60" s="42"/>
      <c r="CW60" s="42"/>
      <c r="CX60" s="42"/>
      <c r="CY60" s="42"/>
      <c r="CZ60" s="42"/>
      <c r="DA60" s="42"/>
      <c r="DB60" s="42"/>
      <c r="DC60" s="42">
        <v>267189.63</v>
      </c>
      <c r="DD60" s="42"/>
      <c r="DE60" s="42"/>
      <c r="DF60" s="42">
        <f>SUM(CT60:DE60)</f>
        <v>779241.64</v>
      </c>
      <c r="DG60" s="1"/>
      <c r="DH60" s="1"/>
      <c r="DI60" s="1"/>
      <c r="DJ60" s="1"/>
      <c r="DK60" s="1"/>
      <c r="DL60" s="1"/>
      <c r="DM60" s="1"/>
      <c r="DN60" s="1"/>
      <c r="DO60" s="1"/>
      <c r="DP60" s="1"/>
      <c r="DQ60" s="1"/>
      <c r="DR60" s="1"/>
      <c r="DS60" s="1">
        <f t="shared" si="53"/>
        <v>0</v>
      </c>
    </row>
    <row r="61" spans="1:123" s="624" customFormat="1" ht="24" x14ac:dyDescent="0.2">
      <c r="A61" s="760" t="s">
        <v>1494</v>
      </c>
      <c r="B61" s="764" t="s">
        <v>57</v>
      </c>
      <c r="C61" s="760" t="s">
        <v>1498</v>
      </c>
      <c r="D61" s="469" t="s">
        <v>2024</v>
      </c>
      <c r="E61" s="469" t="s">
        <v>1427</v>
      </c>
      <c r="F61" s="760" t="s">
        <v>49</v>
      </c>
      <c r="G61" s="760" t="s">
        <v>284</v>
      </c>
      <c r="H61" s="769" t="s">
        <v>61</v>
      </c>
      <c r="I61" s="774">
        <v>45169</v>
      </c>
      <c r="J61" s="774">
        <v>46265</v>
      </c>
      <c r="K61" s="670">
        <f>K62*14/100</f>
        <v>785318.07200000004</v>
      </c>
      <c r="L61" s="618"/>
      <c r="M61" s="612">
        <f t="shared" si="32"/>
        <v>0</v>
      </c>
      <c r="N61" s="612">
        <f t="shared" si="33"/>
        <v>0</v>
      </c>
      <c r="O61" s="612">
        <f t="shared" si="34"/>
        <v>785318.07200000004</v>
      </c>
      <c r="P61" s="612">
        <f t="shared" si="35"/>
        <v>0</v>
      </c>
      <c r="Q61" s="612">
        <f t="shared" si="36"/>
        <v>0</v>
      </c>
      <c r="R61" s="612">
        <f t="shared" si="37"/>
        <v>0</v>
      </c>
      <c r="S61" s="612" t="e" cm="1">
        <f t="array" ref="S61">K61-U98R97</f>
        <v>#NAME?</v>
      </c>
      <c r="T61" s="612">
        <f t="shared" si="39"/>
        <v>0</v>
      </c>
      <c r="U61" s="612">
        <f t="shared" si="40"/>
        <v>0</v>
      </c>
      <c r="V61" s="676">
        <f t="shared" si="54"/>
        <v>0</v>
      </c>
      <c r="W61" s="612">
        <f t="shared" si="41"/>
        <v>785318.07200000004</v>
      </c>
      <c r="X61" s="612">
        <f t="shared" si="42"/>
        <v>0</v>
      </c>
      <c r="Y61" s="677">
        <f t="shared" si="55"/>
        <v>0</v>
      </c>
      <c r="Z61" s="678">
        <f t="shared" si="56"/>
        <v>0</v>
      </c>
      <c r="AA61" s="612">
        <f t="shared" si="43"/>
        <v>785318.07200000004</v>
      </c>
      <c r="AB61" s="612">
        <f t="shared" si="44"/>
        <v>0</v>
      </c>
      <c r="AC61" s="612">
        <f t="shared" si="45"/>
        <v>524637.62</v>
      </c>
      <c r="AD61" s="612">
        <f t="shared" si="46"/>
        <v>524637.62</v>
      </c>
      <c r="AE61" s="612">
        <f t="shared" si="47"/>
        <v>260680.45200000005</v>
      </c>
      <c r="AF61" s="612"/>
      <c r="AG61" s="612"/>
      <c r="AH61" s="612"/>
      <c r="AI61" s="612"/>
      <c r="AJ61" s="679">
        <v>0</v>
      </c>
      <c r="AK61" s="617">
        <v>36</v>
      </c>
      <c r="AL61" s="658" t="s">
        <v>1304</v>
      </c>
      <c r="AM61" s="469">
        <v>0</v>
      </c>
      <c r="AN61" s="469">
        <v>0</v>
      </c>
      <c r="AO61" s="469" t="s">
        <v>53</v>
      </c>
      <c r="AP61" s="469" t="s">
        <v>53</v>
      </c>
      <c r="AQ61" s="469" t="s">
        <v>53</v>
      </c>
      <c r="AR61" s="469" t="s">
        <v>54</v>
      </c>
      <c r="AS61" s="654" t="s">
        <v>70</v>
      </c>
      <c r="AT61" s="469"/>
      <c r="AU61" s="469"/>
      <c r="AV61" s="469"/>
      <c r="AW61" s="469"/>
      <c r="AX61" s="469"/>
      <c r="AY61" s="469"/>
      <c r="AZ61" s="469"/>
      <c r="BA61" s="469"/>
      <c r="BB61" s="469"/>
      <c r="BC61" s="469"/>
      <c r="BD61" s="469"/>
      <c r="BE61" s="469"/>
      <c r="BF61" s="547"/>
      <c r="BG61" s="469"/>
      <c r="BH61" s="469"/>
      <c r="BI61" s="469"/>
      <c r="BJ61" s="469"/>
      <c r="BK61" s="469"/>
      <c r="BL61" s="469"/>
      <c r="BM61" s="469"/>
      <c r="BN61" s="469"/>
      <c r="BO61" s="469"/>
      <c r="BP61" s="469"/>
      <c r="BQ61" s="469"/>
      <c r="BR61" s="469"/>
      <c r="BS61" s="634"/>
      <c r="BT61" s="547"/>
      <c r="BU61" s="547"/>
      <c r="BV61" s="547"/>
      <c r="BW61" s="547"/>
      <c r="BX61" s="547"/>
      <c r="BY61" s="547"/>
      <c r="BZ61" s="547"/>
      <c r="CA61" s="547"/>
      <c r="CB61" s="547"/>
      <c r="CC61" s="547"/>
      <c r="CD61" s="547"/>
      <c r="CE61" s="547"/>
      <c r="CF61" s="634"/>
      <c r="CG61" s="547"/>
      <c r="CH61" s="547"/>
      <c r="CI61" s="547"/>
      <c r="CJ61" s="547"/>
      <c r="CK61" s="547"/>
      <c r="CL61" s="547"/>
      <c r="CM61" s="547"/>
      <c r="CN61" s="547"/>
      <c r="CO61" s="547"/>
      <c r="CP61" s="547"/>
      <c r="CQ61" s="547"/>
      <c r="CR61" s="547"/>
      <c r="CS61" s="547"/>
      <c r="CT61" s="547">
        <v>524637.62</v>
      </c>
      <c r="CU61" s="469"/>
      <c r="CV61" s="547"/>
      <c r="CW61" s="547"/>
      <c r="CX61" s="547"/>
      <c r="CY61" s="547"/>
      <c r="CZ61" s="547"/>
      <c r="DA61" s="547"/>
      <c r="DB61" s="547"/>
      <c r="DC61" s="547"/>
      <c r="DD61" s="547"/>
      <c r="DE61" s="547"/>
      <c r="DF61" s="547">
        <f>SUM(CT61:DE61)</f>
        <v>524637.62</v>
      </c>
      <c r="DG61" s="469"/>
      <c r="DH61" s="469"/>
      <c r="DI61" s="469">
        <v>197908.69</v>
      </c>
      <c r="DJ61" s="469"/>
      <c r="DK61" s="469"/>
      <c r="DL61" s="469"/>
      <c r="DM61" s="469"/>
      <c r="DN61" s="469"/>
      <c r="DO61" s="469"/>
      <c r="DP61" s="469"/>
      <c r="DQ61" s="469"/>
      <c r="DR61" s="469"/>
      <c r="DS61" s="1">
        <f t="shared" si="53"/>
        <v>197908.69</v>
      </c>
    </row>
    <row r="62" spans="1:123" s="624" customFormat="1" ht="24" x14ac:dyDescent="0.2">
      <c r="A62" s="760"/>
      <c r="B62" s="764"/>
      <c r="C62" s="760"/>
      <c r="D62" s="469" t="s">
        <v>2023</v>
      </c>
      <c r="E62" s="469" t="s">
        <v>1893</v>
      </c>
      <c r="F62" s="760"/>
      <c r="G62" s="760"/>
      <c r="H62" s="769"/>
      <c r="I62" s="774"/>
      <c r="J62" s="774"/>
      <c r="K62" s="670">
        <v>5609414.7999999998</v>
      </c>
      <c r="L62" s="618"/>
      <c r="M62" s="612">
        <f t="shared" si="32"/>
        <v>0</v>
      </c>
      <c r="N62" s="612">
        <f t="shared" si="33"/>
        <v>0</v>
      </c>
      <c r="O62" s="612">
        <f t="shared" si="34"/>
        <v>5609414.7999999998</v>
      </c>
      <c r="P62" s="612">
        <f t="shared" si="35"/>
        <v>0</v>
      </c>
      <c r="Q62" s="612">
        <f t="shared" si="36"/>
        <v>0</v>
      </c>
      <c r="R62" s="612">
        <f t="shared" si="37"/>
        <v>0</v>
      </c>
      <c r="S62" s="612">
        <f t="shared" si="38"/>
        <v>5609414.7999999998</v>
      </c>
      <c r="T62" s="612">
        <f t="shared" si="39"/>
        <v>0</v>
      </c>
      <c r="U62" s="612">
        <f t="shared" si="40"/>
        <v>0</v>
      </c>
      <c r="V62" s="676">
        <f t="shared" si="54"/>
        <v>0</v>
      </c>
      <c r="W62" s="612">
        <f t="shared" si="41"/>
        <v>5609414.7999999998</v>
      </c>
      <c r="X62" s="612">
        <f t="shared" si="42"/>
        <v>0</v>
      </c>
      <c r="Y62" s="677">
        <f t="shared" si="55"/>
        <v>0</v>
      </c>
      <c r="Z62" s="678">
        <f t="shared" si="56"/>
        <v>0</v>
      </c>
      <c r="AA62" s="612">
        <f t="shared" si="43"/>
        <v>5609414.7999999998</v>
      </c>
      <c r="AB62" s="612">
        <f t="shared" si="44"/>
        <v>0</v>
      </c>
      <c r="AC62" s="612">
        <f t="shared" si="45"/>
        <v>3153127.5100000002</v>
      </c>
      <c r="AD62" s="612">
        <f t="shared" si="46"/>
        <v>3153127.5100000002</v>
      </c>
      <c r="AE62" s="612">
        <f t="shared" si="47"/>
        <v>2456287.2899999996</v>
      </c>
      <c r="AF62" s="612"/>
      <c r="AG62" s="612"/>
      <c r="AH62" s="612"/>
      <c r="AI62" s="612"/>
      <c r="AJ62" s="679">
        <v>0</v>
      </c>
      <c r="AK62" s="617">
        <v>36</v>
      </c>
      <c r="AL62" s="658" t="s">
        <v>1304</v>
      </c>
      <c r="AM62" s="469">
        <v>0</v>
      </c>
      <c r="AN62" s="469">
        <v>0</v>
      </c>
      <c r="AO62" s="469" t="s">
        <v>53</v>
      </c>
      <c r="AP62" s="469" t="s">
        <v>53</v>
      </c>
      <c r="AQ62" s="469" t="s">
        <v>53</v>
      </c>
      <c r="AR62" s="469" t="s">
        <v>54</v>
      </c>
      <c r="AS62" s="654" t="s">
        <v>70</v>
      </c>
      <c r="AT62" s="469"/>
      <c r="AU62" s="469"/>
      <c r="AV62" s="469"/>
      <c r="AW62" s="469"/>
      <c r="AX62" s="469"/>
      <c r="AY62" s="469"/>
      <c r="AZ62" s="469"/>
      <c r="BA62" s="469"/>
      <c r="BB62" s="469"/>
      <c r="BC62" s="469"/>
      <c r="BD62" s="469"/>
      <c r="BE62" s="469"/>
      <c r="BF62" s="547"/>
      <c r="BG62" s="469"/>
      <c r="BH62" s="469"/>
      <c r="BI62" s="469"/>
      <c r="BJ62" s="469"/>
      <c r="BK62" s="469"/>
      <c r="BL62" s="469"/>
      <c r="BM62" s="469"/>
      <c r="BN62" s="469"/>
      <c r="BO62" s="469"/>
      <c r="BP62" s="469"/>
      <c r="BQ62" s="469"/>
      <c r="BR62" s="469"/>
      <c r="BS62" s="634"/>
      <c r="BT62" s="547"/>
      <c r="BU62" s="547"/>
      <c r="BV62" s="547"/>
      <c r="BW62" s="547"/>
      <c r="BX62" s="547"/>
      <c r="BY62" s="547"/>
      <c r="BZ62" s="547"/>
      <c r="CA62" s="547"/>
      <c r="CB62" s="547"/>
      <c r="CC62" s="547"/>
      <c r="CD62" s="547"/>
      <c r="CE62" s="547"/>
      <c r="CF62" s="634"/>
      <c r="CG62" s="547"/>
      <c r="CH62" s="547"/>
      <c r="CI62" s="547"/>
      <c r="CJ62" s="547"/>
      <c r="CK62" s="547"/>
      <c r="CL62" s="547"/>
      <c r="CM62" s="547"/>
      <c r="CN62" s="547"/>
      <c r="CO62" s="547"/>
      <c r="CP62" s="547"/>
      <c r="CQ62" s="547"/>
      <c r="CR62" s="547"/>
      <c r="CS62" s="547"/>
      <c r="CT62" s="547"/>
      <c r="CU62" s="547"/>
      <c r="CV62" s="469"/>
      <c r="CW62" s="547">
        <v>507320.78</v>
      </c>
      <c r="CX62" s="469"/>
      <c r="CY62" s="547">
        <v>406703.25</v>
      </c>
      <c r="CZ62" s="469"/>
      <c r="DA62" s="547">
        <v>1700556.75</v>
      </c>
      <c r="DB62" s="547"/>
      <c r="DC62" s="547">
        <v>330718.73</v>
      </c>
      <c r="DD62" s="547"/>
      <c r="DE62" s="547">
        <v>207828</v>
      </c>
      <c r="DF62" s="547">
        <f t="shared" si="49"/>
        <v>3153127.5100000002</v>
      </c>
      <c r="DG62" s="469"/>
      <c r="DH62" s="469">
        <v>816915.15</v>
      </c>
      <c r="DI62" s="469">
        <v>164130.29999999999</v>
      </c>
      <c r="DJ62" s="469">
        <f>911690.1+280325.73</f>
        <v>1192015.83</v>
      </c>
      <c r="DK62" s="469"/>
      <c r="DL62" s="469"/>
      <c r="DM62" s="469"/>
      <c r="DN62" s="469"/>
      <c r="DO62" s="469"/>
      <c r="DP62" s="683">
        <v>280325.73</v>
      </c>
      <c r="DQ62" s="469"/>
      <c r="DR62" s="469"/>
      <c r="DS62" s="1">
        <f t="shared" si="53"/>
        <v>2453387.0100000002</v>
      </c>
    </row>
    <row r="63" spans="1:123" s="696" customFormat="1" ht="24" x14ac:dyDescent="0.2">
      <c r="A63" s="759" t="s">
        <v>1494</v>
      </c>
      <c r="B63" s="766" t="s">
        <v>57</v>
      </c>
      <c r="C63" s="771" t="s">
        <v>1499</v>
      </c>
      <c r="D63" s="686" t="s">
        <v>2022</v>
      </c>
      <c r="E63" s="120" t="s">
        <v>1894</v>
      </c>
      <c r="F63" s="759" t="s">
        <v>49</v>
      </c>
      <c r="G63" s="759" t="s">
        <v>284</v>
      </c>
      <c r="H63" s="768" t="s">
        <v>61</v>
      </c>
      <c r="I63" s="776">
        <v>45169</v>
      </c>
      <c r="J63" s="776">
        <v>46265</v>
      </c>
      <c r="K63" s="688">
        <v>5705414.5</v>
      </c>
      <c r="L63" s="689"/>
      <c r="M63" s="263">
        <f t="shared" si="32"/>
        <v>0</v>
      </c>
      <c r="N63" s="263">
        <f t="shared" si="33"/>
        <v>0</v>
      </c>
      <c r="O63" s="263">
        <f t="shared" si="34"/>
        <v>5705414.5</v>
      </c>
      <c r="P63" s="263">
        <f t="shared" si="35"/>
        <v>0</v>
      </c>
      <c r="Q63" s="263">
        <f t="shared" si="36"/>
        <v>0</v>
      </c>
      <c r="R63" s="263">
        <f t="shared" si="37"/>
        <v>0</v>
      </c>
      <c r="S63" s="263">
        <f t="shared" si="38"/>
        <v>5705414.5</v>
      </c>
      <c r="T63" s="263">
        <f t="shared" si="39"/>
        <v>0</v>
      </c>
      <c r="U63" s="263">
        <f t="shared" si="40"/>
        <v>0</v>
      </c>
      <c r="V63" s="690">
        <f t="shared" si="54"/>
        <v>0</v>
      </c>
      <c r="W63" s="263">
        <f t="shared" si="41"/>
        <v>5705414.5</v>
      </c>
      <c r="X63" s="263">
        <f t="shared" si="42"/>
        <v>0</v>
      </c>
      <c r="Y63" s="691">
        <f t="shared" si="55"/>
        <v>0</v>
      </c>
      <c r="Z63" s="249">
        <f t="shared" si="56"/>
        <v>0</v>
      </c>
      <c r="AA63" s="263">
        <f t="shared" si="43"/>
        <v>5705414.5</v>
      </c>
      <c r="AB63" s="263">
        <f t="shared" si="44"/>
        <v>0</v>
      </c>
      <c r="AC63" s="263">
        <f t="shared" si="45"/>
        <v>4416037.74</v>
      </c>
      <c r="AD63" s="263">
        <f t="shared" si="46"/>
        <v>4416037.74</v>
      </c>
      <c r="AE63" s="263">
        <f t="shared" si="47"/>
        <v>1289376.7599999998</v>
      </c>
      <c r="AF63" s="263"/>
      <c r="AG63" s="263"/>
      <c r="AH63" s="263"/>
      <c r="AI63" s="263"/>
      <c r="AJ63" s="692">
        <v>0</v>
      </c>
      <c r="AK63" s="687">
        <v>36</v>
      </c>
      <c r="AL63" s="693" t="s">
        <v>1304</v>
      </c>
      <c r="AM63" s="120">
        <v>0</v>
      </c>
      <c r="AN63" s="120">
        <v>0</v>
      </c>
      <c r="AO63" s="120" t="s">
        <v>53</v>
      </c>
      <c r="AP63" s="120" t="s">
        <v>53</v>
      </c>
      <c r="AQ63" s="120" t="s">
        <v>53</v>
      </c>
      <c r="AR63" s="120" t="s">
        <v>54</v>
      </c>
      <c r="AS63" s="694" t="s">
        <v>70</v>
      </c>
      <c r="AT63" s="120"/>
      <c r="AU63" s="120"/>
      <c r="AV63" s="120"/>
      <c r="AW63" s="120"/>
      <c r="AX63" s="120"/>
      <c r="AY63" s="120"/>
      <c r="AZ63" s="120"/>
      <c r="BA63" s="120"/>
      <c r="BB63" s="120"/>
      <c r="BC63" s="120"/>
      <c r="BD63" s="120"/>
      <c r="BE63" s="120"/>
      <c r="BF63" s="681"/>
      <c r="BG63" s="120"/>
      <c r="BH63" s="120"/>
      <c r="BI63" s="120"/>
      <c r="BJ63" s="120"/>
      <c r="BK63" s="120"/>
      <c r="BL63" s="120"/>
      <c r="BM63" s="120"/>
      <c r="BN63" s="120"/>
      <c r="BO63" s="120"/>
      <c r="BP63" s="120"/>
      <c r="BQ63" s="120"/>
      <c r="BR63" s="120"/>
      <c r="BS63" s="695"/>
      <c r="BT63" s="681"/>
      <c r="BU63" s="681"/>
      <c r="BV63" s="681"/>
      <c r="BW63" s="681"/>
      <c r="BX63" s="681"/>
      <c r="BY63" s="681"/>
      <c r="BZ63" s="681"/>
      <c r="CA63" s="681"/>
      <c r="CB63" s="681"/>
      <c r="CC63" s="681"/>
      <c r="CD63" s="681"/>
      <c r="CE63" s="681"/>
      <c r="CF63" s="695"/>
      <c r="CG63" s="681"/>
      <c r="CH63" s="681"/>
      <c r="CI63" s="681"/>
      <c r="CJ63" s="681"/>
      <c r="CK63" s="681"/>
      <c r="CL63" s="681"/>
      <c r="CM63" s="681"/>
      <c r="CN63" s="681"/>
      <c r="CO63" s="681"/>
      <c r="CP63" s="681"/>
      <c r="CQ63" s="681"/>
      <c r="CR63" s="681"/>
      <c r="CS63" s="681"/>
      <c r="CT63" s="681">
        <v>0</v>
      </c>
      <c r="CU63" s="120"/>
      <c r="CV63" s="681">
        <v>422592.14</v>
      </c>
      <c r="CW63" s="681">
        <v>178512.65</v>
      </c>
      <c r="CX63" s="681">
        <v>543210.15</v>
      </c>
      <c r="CY63" s="681">
        <v>644090.16</v>
      </c>
      <c r="CZ63" s="681">
        <v>1432422.7</v>
      </c>
      <c r="DA63" s="120">
        <v>595910.68000000005</v>
      </c>
      <c r="DB63" s="681"/>
      <c r="DC63" s="681">
        <v>599299.26</v>
      </c>
      <c r="DD63" s="681"/>
      <c r="DE63" s="681"/>
      <c r="DF63" s="681">
        <f>SUM(CT63:DE63)</f>
        <v>4416037.74</v>
      </c>
      <c r="DG63" s="120"/>
      <c r="DH63" s="120"/>
      <c r="DI63" s="120"/>
      <c r="DJ63" s="120"/>
      <c r="DK63" s="120"/>
      <c r="DL63" s="120"/>
      <c r="DM63" s="120">
        <f>272788.94+272788.94</f>
        <v>545577.88</v>
      </c>
      <c r="DN63" s="120"/>
      <c r="DO63" s="120"/>
      <c r="DP63" s="120"/>
      <c r="DQ63" s="120"/>
      <c r="DR63" s="120"/>
      <c r="DS63" s="1">
        <f t="shared" si="53"/>
        <v>545577.88</v>
      </c>
    </row>
    <row r="64" spans="1:123" s="696" customFormat="1" ht="24" x14ac:dyDescent="0.2">
      <c r="A64" s="759"/>
      <c r="B64" s="766"/>
      <c r="C64" s="771"/>
      <c r="D64" s="686" t="s">
        <v>2021</v>
      </c>
      <c r="E64" s="120" t="s">
        <v>1449</v>
      </c>
      <c r="F64" s="759"/>
      <c r="G64" s="759"/>
      <c r="H64" s="768"/>
      <c r="I64" s="776"/>
      <c r="J64" s="776"/>
      <c r="K64" s="688">
        <f>K63*14/100</f>
        <v>798758.03</v>
      </c>
      <c r="L64" s="689"/>
      <c r="M64" s="263">
        <f t="shared" si="32"/>
        <v>0</v>
      </c>
      <c r="N64" s="263">
        <f t="shared" si="33"/>
        <v>0</v>
      </c>
      <c r="O64" s="263">
        <f t="shared" si="34"/>
        <v>798758.03</v>
      </c>
      <c r="P64" s="263">
        <f t="shared" si="35"/>
        <v>0</v>
      </c>
      <c r="Q64" s="263">
        <f t="shared" si="36"/>
        <v>0</v>
      </c>
      <c r="R64" s="263">
        <f t="shared" si="37"/>
        <v>0</v>
      </c>
      <c r="S64" s="263">
        <f t="shared" si="38"/>
        <v>798758.03</v>
      </c>
      <c r="T64" s="263">
        <f t="shared" si="39"/>
        <v>0</v>
      </c>
      <c r="U64" s="263">
        <f t="shared" si="40"/>
        <v>0</v>
      </c>
      <c r="V64" s="690">
        <f t="shared" si="54"/>
        <v>0</v>
      </c>
      <c r="W64" s="263">
        <f t="shared" si="41"/>
        <v>798758.03</v>
      </c>
      <c r="X64" s="263">
        <f t="shared" si="42"/>
        <v>0</v>
      </c>
      <c r="Y64" s="691">
        <f t="shared" si="55"/>
        <v>0</v>
      </c>
      <c r="Z64" s="249">
        <f t="shared" si="56"/>
        <v>0</v>
      </c>
      <c r="AA64" s="263">
        <f t="shared" si="43"/>
        <v>798758.03</v>
      </c>
      <c r="AB64" s="263">
        <f t="shared" si="44"/>
        <v>0</v>
      </c>
      <c r="AC64" s="263">
        <f t="shared" si="45"/>
        <v>850107.66</v>
      </c>
      <c r="AD64" s="263">
        <f t="shared" si="46"/>
        <v>850107.66</v>
      </c>
      <c r="AE64" s="263">
        <f t="shared" si="47"/>
        <v>-51349.630000000005</v>
      </c>
      <c r="AF64" s="263"/>
      <c r="AG64" s="263"/>
      <c r="AH64" s="263"/>
      <c r="AI64" s="263"/>
      <c r="AJ64" s="692">
        <v>0</v>
      </c>
      <c r="AK64" s="687">
        <v>36</v>
      </c>
      <c r="AL64" s="693" t="s">
        <v>1304</v>
      </c>
      <c r="AM64" s="120">
        <v>0</v>
      </c>
      <c r="AN64" s="120">
        <v>0</v>
      </c>
      <c r="AO64" s="120" t="s">
        <v>53</v>
      </c>
      <c r="AP64" s="120" t="s">
        <v>53</v>
      </c>
      <c r="AQ64" s="120" t="s">
        <v>53</v>
      </c>
      <c r="AR64" s="120" t="s">
        <v>54</v>
      </c>
      <c r="AS64" s="694" t="s">
        <v>70</v>
      </c>
      <c r="AT64" s="120"/>
      <c r="AU64" s="120"/>
      <c r="AV64" s="120"/>
      <c r="AW64" s="120"/>
      <c r="AX64" s="120"/>
      <c r="AY64" s="120"/>
      <c r="AZ64" s="120"/>
      <c r="BA64" s="120"/>
      <c r="BB64" s="120"/>
      <c r="BC64" s="120"/>
      <c r="BD64" s="120"/>
      <c r="BE64" s="120"/>
      <c r="BF64" s="681"/>
      <c r="BG64" s="120"/>
      <c r="BH64" s="120"/>
      <c r="BI64" s="120"/>
      <c r="BJ64" s="120"/>
      <c r="BK64" s="120"/>
      <c r="BL64" s="120"/>
      <c r="BM64" s="120"/>
      <c r="BN64" s="120"/>
      <c r="BO64" s="120"/>
      <c r="BP64" s="120"/>
      <c r="BQ64" s="120"/>
      <c r="BR64" s="120"/>
      <c r="BS64" s="695"/>
      <c r="BT64" s="681"/>
      <c r="BU64" s="681"/>
      <c r="BV64" s="681"/>
      <c r="BW64" s="681"/>
      <c r="BX64" s="681"/>
      <c r="BY64" s="681"/>
      <c r="BZ64" s="681"/>
      <c r="CA64" s="681"/>
      <c r="CB64" s="681"/>
      <c r="CC64" s="681"/>
      <c r="CD64" s="681"/>
      <c r="CE64" s="681"/>
      <c r="CF64" s="695"/>
      <c r="CG64" s="681"/>
      <c r="CH64" s="681"/>
      <c r="CI64" s="681"/>
      <c r="CJ64" s="681"/>
      <c r="CK64" s="681"/>
      <c r="CL64" s="681"/>
      <c r="CM64" s="681"/>
      <c r="CN64" s="681"/>
      <c r="CO64" s="681"/>
      <c r="CP64" s="681"/>
      <c r="CQ64" s="681"/>
      <c r="CR64" s="681"/>
      <c r="CS64" s="681"/>
      <c r="CT64" s="681">
        <v>438823.51</v>
      </c>
      <c r="CU64" s="681">
        <v>0</v>
      </c>
      <c r="CV64" s="120"/>
      <c r="CW64" s="681">
        <v>129235.3</v>
      </c>
      <c r="CX64" s="681"/>
      <c r="CY64" s="681"/>
      <c r="CZ64" s="120"/>
      <c r="DA64" s="681">
        <v>127075.14</v>
      </c>
      <c r="DB64" s="681"/>
      <c r="DC64" s="681">
        <v>154973.71</v>
      </c>
      <c r="DD64" s="681"/>
      <c r="DE64" s="681"/>
      <c r="DF64" s="681">
        <f>SUM(CT64:DE64)</f>
        <v>850107.66</v>
      </c>
      <c r="DG64" s="120"/>
      <c r="DH64" s="120"/>
      <c r="DI64" s="120"/>
      <c r="DJ64" s="120"/>
      <c r="DK64" s="120"/>
      <c r="DL64" s="120"/>
      <c r="DM64" s="120"/>
      <c r="DN64" s="120"/>
      <c r="DO64" s="120"/>
      <c r="DP64" s="120"/>
      <c r="DQ64" s="120"/>
      <c r="DR64" s="120"/>
      <c r="DS64" s="1">
        <f t="shared" si="53"/>
        <v>0</v>
      </c>
    </row>
    <row r="65" spans="1:123" ht="24" hidden="1" x14ac:dyDescent="0.2">
      <c r="A65" s="763" t="s">
        <v>1494</v>
      </c>
      <c r="B65" s="765" t="s">
        <v>107</v>
      </c>
      <c r="C65" s="762" t="s">
        <v>1500</v>
      </c>
      <c r="D65" s="4" t="s">
        <v>182</v>
      </c>
      <c r="E65" s="1" t="s">
        <v>122</v>
      </c>
      <c r="F65" s="763" t="s">
        <v>49</v>
      </c>
      <c r="G65" s="763" t="s">
        <v>284</v>
      </c>
      <c r="H65" s="775" t="s">
        <v>61</v>
      </c>
      <c r="I65" s="773">
        <v>45169</v>
      </c>
      <c r="J65" s="773">
        <v>46265</v>
      </c>
      <c r="K65" s="470">
        <v>4951020.25</v>
      </c>
      <c r="L65" s="15"/>
      <c r="M65" s="136">
        <f t="shared" si="32"/>
        <v>0</v>
      </c>
      <c r="N65" s="136">
        <f t="shared" si="33"/>
        <v>0</v>
      </c>
      <c r="O65" s="136">
        <f t="shared" si="34"/>
        <v>4951020.25</v>
      </c>
      <c r="P65" s="136">
        <f t="shared" si="35"/>
        <v>0</v>
      </c>
      <c r="Q65" s="136">
        <f t="shared" si="36"/>
        <v>0</v>
      </c>
      <c r="R65" s="136">
        <f t="shared" si="37"/>
        <v>0</v>
      </c>
      <c r="S65" s="136">
        <f t="shared" si="38"/>
        <v>4951020.25</v>
      </c>
      <c r="T65" s="136">
        <f>R65</f>
        <v>0</v>
      </c>
      <c r="U65" s="136">
        <f t="shared" si="40"/>
        <v>0</v>
      </c>
      <c r="V65" s="467">
        <f t="shared" si="54"/>
        <v>0</v>
      </c>
      <c r="W65" s="136">
        <f t="shared" si="41"/>
        <v>4951020.25</v>
      </c>
      <c r="X65" s="136">
        <f t="shared" si="42"/>
        <v>0</v>
      </c>
      <c r="Y65" s="468">
        <f t="shared" si="55"/>
        <v>0</v>
      </c>
      <c r="Z65" s="18">
        <f t="shared" si="56"/>
        <v>0</v>
      </c>
      <c r="AA65" s="136">
        <f t="shared" si="43"/>
        <v>4951020.25</v>
      </c>
      <c r="AB65" s="136">
        <f t="shared" si="44"/>
        <v>0</v>
      </c>
      <c r="AC65" s="136">
        <f t="shared" si="45"/>
        <v>4694804.6099999994</v>
      </c>
      <c r="AD65" s="136">
        <f t="shared" si="46"/>
        <v>4694804.6099999994</v>
      </c>
      <c r="AE65" s="136">
        <f t="shared" si="47"/>
        <v>256215.6400000006</v>
      </c>
      <c r="AF65" s="136"/>
      <c r="AG65" s="136"/>
      <c r="AH65" s="136"/>
      <c r="AI65" s="136"/>
      <c r="AJ65" s="223">
        <v>0</v>
      </c>
      <c r="AK65" s="46">
        <v>36</v>
      </c>
      <c r="AL65" s="104" t="s">
        <v>1304</v>
      </c>
      <c r="AM65" s="1">
        <v>0</v>
      </c>
      <c r="AN65" s="1">
        <v>0</v>
      </c>
      <c r="AO65" s="1" t="s">
        <v>53</v>
      </c>
      <c r="AP65" s="1" t="s">
        <v>53</v>
      </c>
      <c r="AQ65" s="1" t="s">
        <v>53</v>
      </c>
      <c r="AR65" s="1" t="s">
        <v>54</v>
      </c>
      <c r="AS65" s="141" t="s">
        <v>70</v>
      </c>
      <c r="AT65" s="1"/>
      <c r="AU65" s="1"/>
      <c r="AV65" s="1"/>
      <c r="AW65" s="1"/>
      <c r="AX65" s="1"/>
      <c r="AY65" s="1"/>
      <c r="AZ65" s="1"/>
      <c r="BA65" s="1"/>
      <c r="BB65" s="1"/>
      <c r="BC65" s="1"/>
      <c r="BD65" s="1"/>
      <c r="BE65" s="1"/>
      <c r="BF65" s="42"/>
      <c r="BG65" s="1"/>
      <c r="BH65" s="1"/>
      <c r="BI65" s="1"/>
      <c r="BJ65" s="1"/>
      <c r="BK65" s="1"/>
      <c r="BL65" s="1"/>
      <c r="BM65" s="1"/>
      <c r="BN65" s="1"/>
      <c r="BO65" s="1"/>
      <c r="BP65" s="1"/>
      <c r="BQ65" s="1"/>
      <c r="BR65" s="1"/>
      <c r="BS65" s="242"/>
      <c r="BT65" s="42"/>
      <c r="BU65" s="42"/>
      <c r="BV65" s="42"/>
      <c r="BW65" s="42"/>
      <c r="BX65" s="42"/>
      <c r="BY65" s="42"/>
      <c r="BZ65" s="42"/>
      <c r="CA65" s="42"/>
      <c r="CB65" s="42"/>
      <c r="CC65" s="42"/>
      <c r="CD65" s="42"/>
      <c r="CE65" s="42"/>
      <c r="CF65" s="242"/>
      <c r="CG65" s="42"/>
      <c r="CH65" s="42"/>
      <c r="CI65" s="42"/>
      <c r="CJ65" s="42"/>
      <c r="CK65" s="42"/>
      <c r="CL65" s="42"/>
      <c r="CM65" s="42"/>
      <c r="CN65" s="42"/>
      <c r="CO65" s="42"/>
      <c r="CP65" s="42"/>
      <c r="CQ65" s="42"/>
      <c r="CR65" s="42"/>
      <c r="CS65" s="42"/>
      <c r="CT65" s="1"/>
      <c r="CU65" s="42"/>
      <c r="CV65" s="42">
        <v>688609.27</v>
      </c>
      <c r="CW65" s="42">
        <v>1025030.56</v>
      </c>
      <c r="CX65" s="42">
        <v>224183.76</v>
      </c>
      <c r="CY65" s="42">
        <v>671195.2</v>
      </c>
      <c r="CZ65" s="1"/>
      <c r="DA65" s="42">
        <v>1353023.3</v>
      </c>
      <c r="DB65" s="42">
        <v>0</v>
      </c>
      <c r="DC65" s="42"/>
      <c r="DD65" s="42"/>
      <c r="DE65" s="42">
        <v>732762.52</v>
      </c>
      <c r="DF65" s="42">
        <f>SUM(CU65:DE65)</f>
        <v>4694804.6099999994</v>
      </c>
      <c r="DG65" s="1"/>
      <c r="DH65" s="1"/>
      <c r="DI65" s="1"/>
      <c r="DJ65" s="1"/>
      <c r="DK65" s="1"/>
      <c r="DL65" s="1"/>
      <c r="DM65" s="1"/>
      <c r="DN65" s="1"/>
      <c r="DO65" s="1"/>
      <c r="DP65" s="1"/>
      <c r="DQ65" s="1"/>
      <c r="DR65" s="1"/>
      <c r="DS65" s="1">
        <f t="shared" si="53"/>
        <v>0</v>
      </c>
    </row>
    <row r="66" spans="1:123" ht="24" hidden="1" x14ac:dyDescent="0.2">
      <c r="A66" s="763"/>
      <c r="B66" s="765"/>
      <c r="C66" s="762"/>
      <c r="D66" s="4" t="s">
        <v>1358</v>
      </c>
      <c r="E66" s="1" t="s">
        <v>1377</v>
      </c>
      <c r="F66" s="763"/>
      <c r="G66" s="763"/>
      <c r="H66" s="775"/>
      <c r="I66" s="773"/>
      <c r="J66" s="773"/>
      <c r="K66" s="470">
        <f>K65*14/100</f>
        <v>693142.83499999996</v>
      </c>
      <c r="L66" s="15"/>
      <c r="M66" s="136">
        <f t="shared" si="32"/>
        <v>0</v>
      </c>
      <c r="N66" s="136">
        <f t="shared" si="33"/>
        <v>0</v>
      </c>
      <c r="O66" s="136">
        <f t="shared" si="34"/>
        <v>693142.83499999996</v>
      </c>
      <c r="P66" s="136">
        <f t="shared" si="35"/>
        <v>0</v>
      </c>
      <c r="Q66" s="136">
        <f t="shared" si="36"/>
        <v>0</v>
      </c>
      <c r="R66" s="136">
        <f t="shared" si="37"/>
        <v>0</v>
      </c>
      <c r="S66" s="136">
        <f t="shared" si="38"/>
        <v>693142.83499999996</v>
      </c>
      <c r="T66" s="136">
        <f>R66</f>
        <v>0</v>
      </c>
      <c r="U66" s="136">
        <f t="shared" si="40"/>
        <v>0</v>
      </c>
      <c r="V66" s="467">
        <f t="shared" si="54"/>
        <v>0</v>
      </c>
      <c r="W66" s="136">
        <f t="shared" si="41"/>
        <v>693142.83499999996</v>
      </c>
      <c r="X66" s="136">
        <f t="shared" si="42"/>
        <v>0</v>
      </c>
      <c r="Y66" s="468">
        <f t="shared" si="55"/>
        <v>0</v>
      </c>
      <c r="Z66" s="18">
        <f t="shared" si="56"/>
        <v>0</v>
      </c>
      <c r="AA66" s="136">
        <f t="shared" si="43"/>
        <v>693142.83499999996</v>
      </c>
      <c r="AB66" s="136">
        <f t="shared" si="44"/>
        <v>0</v>
      </c>
      <c r="AC66" s="136">
        <f t="shared" si="45"/>
        <v>651601.06000000006</v>
      </c>
      <c r="AD66" s="136">
        <f t="shared" si="46"/>
        <v>651601.06000000006</v>
      </c>
      <c r="AE66" s="136">
        <f t="shared" si="47"/>
        <v>41541.774999999907</v>
      </c>
      <c r="AF66" s="136"/>
      <c r="AG66" s="136"/>
      <c r="AH66" s="136"/>
      <c r="AI66" s="136"/>
      <c r="AJ66" s="223">
        <v>0</v>
      </c>
      <c r="AK66" s="46">
        <v>36</v>
      </c>
      <c r="AL66" s="104" t="s">
        <v>1304</v>
      </c>
      <c r="AM66" s="1">
        <v>0</v>
      </c>
      <c r="AN66" s="1">
        <v>0</v>
      </c>
      <c r="AO66" s="1" t="s">
        <v>53</v>
      </c>
      <c r="AP66" s="1" t="s">
        <v>53</v>
      </c>
      <c r="AQ66" s="1" t="s">
        <v>53</v>
      </c>
      <c r="AR66" s="1" t="s">
        <v>54</v>
      </c>
      <c r="AS66" s="141" t="s">
        <v>70</v>
      </c>
      <c r="AT66" s="1"/>
      <c r="AU66" s="1"/>
      <c r="AV66" s="1"/>
      <c r="AW66" s="1"/>
      <c r="AX66" s="1"/>
      <c r="AY66" s="1"/>
      <c r="AZ66" s="1"/>
      <c r="BA66" s="1"/>
      <c r="BB66" s="1"/>
      <c r="BC66" s="1"/>
      <c r="BD66" s="1"/>
      <c r="BE66" s="1"/>
      <c r="BF66" s="42"/>
      <c r="BG66" s="1"/>
      <c r="BH66" s="1"/>
      <c r="BI66" s="1"/>
      <c r="BJ66" s="1"/>
      <c r="BK66" s="1"/>
      <c r="BL66" s="1"/>
      <c r="BM66" s="1"/>
      <c r="BN66" s="1"/>
      <c r="BO66" s="1"/>
      <c r="BP66" s="1"/>
      <c r="BQ66" s="1"/>
      <c r="BR66" s="1"/>
      <c r="BS66" s="242"/>
      <c r="BT66" s="42"/>
      <c r="BU66" s="42"/>
      <c r="BV66" s="42"/>
      <c r="BW66" s="42"/>
      <c r="BX66" s="42"/>
      <c r="BY66" s="42"/>
      <c r="BZ66" s="42"/>
      <c r="CA66" s="42"/>
      <c r="CB66" s="42"/>
      <c r="CC66" s="42"/>
      <c r="CD66" s="42"/>
      <c r="CE66" s="42"/>
      <c r="CF66" s="242"/>
      <c r="CG66" s="42"/>
      <c r="CH66" s="42"/>
      <c r="CI66" s="42"/>
      <c r="CJ66" s="42"/>
      <c r="CK66" s="42"/>
      <c r="CL66" s="42"/>
      <c r="CM66" s="42"/>
      <c r="CN66" s="42"/>
      <c r="CO66" s="42"/>
      <c r="CP66" s="42"/>
      <c r="CQ66" s="42"/>
      <c r="CR66" s="42"/>
      <c r="CS66" s="42"/>
      <c r="CT66" s="42">
        <v>510514.21</v>
      </c>
      <c r="CU66" s="42"/>
      <c r="CV66" s="42"/>
      <c r="CW66" s="1"/>
      <c r="CX66" s="42">
        <v>141086.85</v>
      </c>
      <c r="CY66" s="42"/>
      <c r="CZ66" s="42"/>
      <c r="DA66" s="42"/>
      <c r="DB66" s="42"/>
      <c r="DC66" s="42"/>
      <c r="DD66" s="42"/>
      <c r="DE66" s="42"/>
      <c r="DF66" s="42">
        <f t="shared" si="49"/>
        <v>651601.06000000006</v>
      </c>
      <c r="DG66" s="1"/>
      <c r="DH66" s="1"/>
      <c r="DI66" s="1"/>
      <c r="DJ66" s="1"/>
      <c r="DK66" s="1"/>
      <c r="DL66" s="1"/>
      <c r="DM66" s="1"/>
      <c r="DN66" s="1"/>
      <c r="DO66" s="1"/>
      <c r="DP66" s="1"/>
      <c r="DQ66" s="1"/>
      <c r="DR66" s="1"/>
      <c r="DS66" s="1">
        <f t="shared" si="53"/>
        <v>0</v>
      </c>
    </row>
    <row r="67" spans="1:123" s="624" customFormat="1" ht="24" x14ac:dyDescent="0.2">
      <c r="A67" s="769" t="s">
        <v>1494</v>
      </c>
      <c r="B67" s="761" t="s">
        <v>57</v>
      </c>
      <c r="C67" s="769" t="s">
        <v>1501</v>
      </c>
      <c r="D67" s="469" t="s">
        <v>2020</v>
      </c>
      <c r="E67" s="469" t="s">
        <v>1516</v>
      </c>
      <c r="F67" s="760" t="s">
        <v>49</v>
      </c>
      <c r="G67" s="760" t="s">
        <v>284</v>
      </c>
      <c r="H67" s="769" t="s">
        <v>61</v>
      </c>
      <c r="I67" s="774">
        <v>45149</v>
      </c>
      <c r="J67" s="774">
        <v>46245</v>
      </c>
      <c r="K67" s="670">
        <v>5534345.9000000004</v>
      </c>
      <c r="L67" s="618"/>
      <c r="M67" s="612">
        <f t="shared" si="32"/>
        <v>0</v>
      </c>
      <c r="N67" s="612">
        <f t="shared" si="33"/>
        <v>0</v>
      </c>
      <c r="O67" s="612">
        <f t="shared" si="34"/>
        <v>5534345.9000000004</v>
      </c>
      <c r="P67" s="612">
        <f t="shared" si="35"/>
        <v>0</v>
      </c>
      <c r="Q67" s="612">
        <f t="shared" si="36"/>
        <v>0</v>
      </c>
      <c r="R67" s="612">
        <f t="shared" si="37"/>
        <v>0</v>
      </c>
      <c r="S67" s="612">
        <f t="shared" si="38"/>
        <v>5534345.9000000004</v>
      </c>
      <c r="T67" s="612">
        <f t="shared" si="39"/>
        <v>0</v>
      </c>
      <c r="U67" s="612">
        <f t="shared" si="40"/>
        <v>0</v>
      </c>
      <c r="V67" s="676">
        <f t="shared" si="54"/>
        <v>0</v>
      </c>
      <c r="W67" s="612">
        <f t="shared" si="41"/>
        <v>5534345.9000000004</v>
      </c>
      <c r="X67" s="612">
        <f t="shared" si="42"/>
        <v>0</v>
      </c>
      <c r="Y67" s="677">
        <f t="shared" si="55"/>
        <v>0</v>
      </c>
      <c r="Z67" s="678">
        <f t="shared" si="56"/>
        <v>0</v>
      </c>
      <c r="AA67" s="612">
        <f t="shared" si="43"/>
        <v>5534345.9000000004</v>
      </c>
      <c r="AB67" s="612">
        <f t="shared" si="44"/>
        <v>0</v>
      </c>
      <c r="AC67" s="612">
        <f t="shared" si="45"/>
        <v>2415940.08</v>
      </c>
      <c r="AD67" s="612">
        <f t="shared" si="46"/>
        <v>2415940.08</v>
      </c>
      <c r="AE67" s="612">
        <f t="shared" si="47"/>
        <v>3118405.8200000003</v>
      </c>
      <c r="AF67" s="612"/>
      <c r="AG67" s="612"/>
      <c r="AH67" s="612"/>
      <c r="AI67" s="612"/>
      <c r="AJ67" s="679">
        <v>0</v>
      </c>
      <c r="AK67" s="617">
        <v>36</v>
      </c>
      <c r="AL67" s="658" t="s">
        <v>1304</v>
      </c>
      <c r="AM67" s="469">
        <v>0</v>
      </c>
      <c r="AN67" s="469">
        <v>0</v>
      </c>
      <c r="AO67" s="469" t="s">
        <v>53</v>
      </c>
      <c r="AP67" s="469" t="s">
        <v>53</v>
      </c>
      <c r="AQ67" s="469" t="s">
        <v>53</v>
      </c>
      <c r="AR67" s="469" t="s">
        <v>54</v>
      </c>
      <c r="AS67" s="654" t="s">
        <v>70</v>
      </c>
      <c r="AT67" s="469"/>
      <c r="AU67" s="469"/>
      <c r="AV67" s="469"/>
      <c r="AW67" s="469"/>
      <c r="AX67" s="469"/>
      <c r="AY67" s="469"/>
      <c r="AZ67" s="469"/>
      <c r="BA67" s="469"/>
      <c r="BB67" s="469"/>
      <c r="BC67" s="469"/>
      <c r="BD67" s="469"/>
      <c r="BE67" s="469"/>
      <c r="BF67" s="547"/>
      <c r="BG67" s="469"/>
      <c r="BH67" s="469"/>
      <c r="BI67" s="469"/>
      <c r="BJ67" s="469"/>
      <c r="BK67" s="469"/>
      <c r="BL67" s="469"/>
      <c r="BM67" s="469"/>
      <c r="BN67" s="469"/>
      <c r="BO67" s="469"/>
      <c r="BP67" s="469"/>
      <c r="BQ67" s="469"/>
      <c r="BR67" s="469"/>
      <c r="BS67" s="634"/>
      <c r="BT67" s="547"/>
      <c r="BU67" s="547"/>
      <c r="BV67" s="547"/>
      <c r="BW67" s="547"/>
      <c r="BX67" s="547"/>
      <c r="BY67" s="547"/>
      <c r="BZ67" s="547"/>
      <c r="CA67" s="547"/>
      <c r="CB67" s="547"/>
      <c r="CC67" s="547"/>
      <c r="CD67" s="547"/>
      <c r="CE67" s="547"/>
      <c r="CF67" s="634"/>
      <c r="CG67" s="547"/>
      <c r="CH67" s="547"/>
      <c r="CI67" s="547"/>
      <c r="CJ67" s="547"/>
      <c r="CK67" s="547"/>
      <c r="CL67" s="547"/>
      <c r="CM67" s="547"/>
      <c r="CN67" s="547"/>
      <c r="CO67" s="547"/>
      <c r="CP67" s="547"/>
      <c r="CQ67" s="547"/>
      <c r="CR67" s="547"/>
      <c r="CS67" s="547"/>
      <c r="CT67" s="469"/>
      <c r="CU67" s="547"/>
      <c r="CV67" s="547">
        <v>974940</v>
      </c>
      <c r="CW67" s="547">
        <v>677731.9</v>
      </c>
      <c r="CX67" s="547">
        <v>564118.30000000005</v>
      </c>
      <c r="CY67" s="547">
        <v>199149.88</v>
      </c>
      <c r="CZ67" s="547"/>
      <c r="DA67" s="547">
        <v>0</v>
      </c>
      <c r="DB67" s="547">
        <v>0</v>
      </c>
      <c r="DC67" s="547"/>
      <c r="DD67" s="547"/>
      <c r="DE67" s="547"/>
      <c r="DF67" s="547">
        <f>SUM(CU67:DE67)</f>
        <v>2415940.08</v>
      </c>
      <c r="DG67" s="547"/>
      <c r="DH67" s="547"/>
      <c r="DI67" s="547"/>
      <c r="DJ67" s="547"/>
      <c r="DK67" s="547"/>
      <c r="DL67" s="547"/>
      <c r="DM67" s="547"/>
      <c r="DN67" s="547"/>
      <c r="DO67" s="469"/>
      <c r="DP67" s="469"/>
      <c r="DQ67" s="469"/>
      <c r="DR67" s="469"/>
      <c r="DS67" s="1">
        <f t="shared" si="53"/>
        <v>0</v>
      </c>
    </row>
    <row r="68" spans="1:123" s="624" customFormat="1" ht="24" x14ac:dyDescent="0.2">
      <c r="A68" s="769"/>
      <c r="B68" s="761"/>
      <c r="C68" s="769"/>
      <c r="D68" s="469" t="s">
        <v>2019</v>
      </c>
      <c r="E68" s="469" t="s">
        <v>603</v>
      </c>
      <c r="F68" s="760"/>
      <c r="G68" s="760"/>
      <c r="H68" s="769"/>
      <c r="I68" s="774"/>
      <c r="J68" s="774"/>
      <c r="K68" s="670">
        <f>K67*14/100</f>
        <v>774808.42600000009</v>
      </c>
      <c r="L68" s="618"/>
      <c r="M68" s="612">
        <f t="shared" si="32"/>
        <v>0</v>
      </c>
      <c r="N68" s="612">
        <f t="shared" si="33"/>
        <v>0</v>
      </c>
      <c r="O68" s="612">
        <f t="shared" si="34"/>
        <v>774808.42600000009</v>
      </c>
      <c r="P68" s="612">
        <f t="shared" si="35"/>
        <v>0</v>
      </c>
      <c r="Q68" s="612">
        <f t="shared" si="36"/>
        <v>0</v>
      </c>
      <c r="R68" s="612">
        <f t="shared" si="37"/>
        <v>0</v>
      </c>
      <c r="S68" s="612">
        <f t="shared" si="38"/>
        <v>774808.42600000009</v>
      </c>
      <c r="T68" s="612">
        <f t="shared" si="39"/>
        <v>0</v>
      </c>
      <c r="U68" s="612">
        <f t="shared" si="40"/>
        <v>0</v>
      </c>
      <c r="V68" s="676">
        <f t="shared" si="54"/>
        <v>0</v>
      </c>
      <c r="W68" s="612">
        <f t="shared" si="41"/>
        <v>774808.42600000009</v>
      </c>
      <c r="X68" s="612">
        <f t="shared" si="42"/>
        <v>0</v>
      </c>
      <c r="Y68" s="677">
        <f t="shared" si="55"/>
        <v>0</v>
      </c>
      <c r="Z68" s="678">
        <f t="shared" si="56"/>
        <v>0</v>
      </c>
      <c r="AA68" s="612">
        <f t="shared" si="43"/>
        <v>774808.42600000009</v>
      </c>
      <c r="AB68" s="612">
        <f t="shared" si="44"/>
        <v>0</v>
      </c>
      <c r="AC68" s="612">
        <f t="shared" si="45"/>
        <v>712768.16999999993</v>
      </c>
      <c r="AD68" s="612">
        <f t="shared" si="46"/>
        <v>712768.16999999993</v>
      </c>
      <c r="AE68" s="612">
        <f t="shared" si="47"/>
        <v>62040.256000000169</v>
      </c>
      <c r="AF68" s="612"/>
      <c r="AG68" s="612"/>
      <c r="AH68" s="612"/>
      <c r="AI68" s="612"/>
      <c r="AJ68" s="679">
        <v>0</v>
      </c>
      <c r="AK68" s="617">
        <v>36</v>
      </c>
      <c r="AL68" s="658" t="s">
        <v>1304</v>
      </c>
      <c r="AM68" s="469">
        <v>0</v>
      </c>
      <c r="AN68" s="469">
        <v>0</v>
      </c>
      <c r="AO68" s="469" t="s">
        <v>53</v>
      </c>
      <c r="AP68" s="469" t="s">
        <v>53</v>
      </c>
      <c r="AQ68" s="469" t="s">
        <v>53</v>
      </c>
      <c r="AR68" s="469" t="s">
        <v>54</v>
      </c>
      <c r="AS68" s="654" t="s">
        <v>70</v>
      </c>
      <c r="AT68" s="469"/>
      <c r="AU68" s="469"/>
      <c r="AV68" s="469"/>
      <c r="AW68" s="469"/>
      <c r="AX68" s="469"/>
      <c r="AY68" s="469"/>
      <c r="AZ68" s="469"/>
      <c r="BA68" s="469"/>
      <c r="BB68" s="469"/>
      <c r="BC68" s="469"/>
      <c r="BD68" s="469"/>
      <c r="BE68" s="469"/>
      <c r="BF68" s="547"/>
      <c r="BG68" s="469"/>
      <c r="BH68" s="469"/>
      <c r="BI68" s="469"/>
      <c r="BJ68" s="469"/>
      <c r="BK68" s="469"/>
      <c r="BL68" s="469"/>
      <c r="BM68" s="469"/>
      <c r="BN68" s="469"/>
      <c r="BO68" s="469"/>
      <c r="BP68" s="469"/>
      <c r="BQ68" s="469"/>
      <c r="BR68" s="469"/>
      <c r="BS68" s="634"/>
      <c r="BT68" s="547"/>
      <c r="BU68" s="547"/>
      <c r="BV68" s="547"/>
      <c r="BW68" s="547"/>
      <c r="BX68" s="547"/>
      <c r="BY68" s="547"/>
      <c r="BZ68" s="547"/>
      <c r="CA68" s="547"/>
      <c r="CB68" s="547"/>
      <c r="CC68" s="547"/>
      <c r="CD68" s="547"/>
      <c r="CE68" s="547"/>
      <c r="CF68" s="634"/>
      <c r="CG68" s="547"/>
      <c r="CH68" s="547"/>
      <c r="CI68" s="547"/>
      <c r="CJ68" s="547"/>
      <c r="CK68" s="547"/>
      <c r="CL68" s="547"/>
      <c r="CM68" s="547"/>
      <c r="CN68" s="547"/>
      <c r="CO68" s="547"/>
      <c r="CP68" s="547"/>
      <c r="CQ68" s="547"/>
      <c r="CR68" s="547"/>
      <c r="CS68" s="547"/>
      <c r="CT68" s="547">
        <v>598337.85</v>
      </c>
      <c r="CU68" s="469"/>
      <c r="CV68" s="547">
        <f>114430.32</f>
        <v>114430.32</v>
      </c>
      <c r="CW68" s="547"/>
      <c r="CX68" s="547"/>
      <c r="CY68" s="547"/>
      <c r="CZ68" s="547"/>
      <c r="DA68" s="547"/>
      <c r="DB68" s="547"/>
      <c r="DC68" s="547"/>
      <c r="DD68" s="547"/>
      <c r="DE68" s="547"/>
      <c r="DF68" s="547">
        <f>SUM(CT68:DE68)</f>
        <v>712768.16999999993</v>
      </c>
      <c r="DG68" s="547"/>
      <c r="DH68" s="547"/>
      <c r="DI68" s="547"/>
      <c r="DJ68" s="547"/>
      <c r="DK68" s="547"/>
      <c r="DL68" s="547"/>
      <c r="DM68" s="547"/>
      <c r="DN68" s="547"/>
      <c r="DO68" s="469"/>
      <c r="DP68" s="469"/>
      <c r="DQ68" s="469"/>
      <c r="DR68" s="469"/>
      <c r="DS68" s="1">
        <f t="shared" si="53"/>
        <v>0</v>
      </c>
    </row>
    <row r="69" spans="1:123" s="624" customFormat="1" x14ac:dyDescent="0.2">
      <c r="A69" s="769"/>
      <c r="B69" s="761"/>
      <c r="C69" s="769"/>
      <c r="D69" s="469" t="s">
        <v>2018</v>
      </c>
      <c r="E69" s="469" t="s">
        <v>1888</v>
      </c>
      <c r="F69" s="660"/>
      <c r="G69" s="660"/>
      <c r="H69" s="617"/>
      <c r="I69" s="680"/>
      <c r="J69" s="680"/>
      <c r="K69" s="670"/>
      <c r="L69" s="618"/>
      <c r="M69" s="612">
        <f t="shared" si="32"/>
        <v>0</v>
      </c>
      <c r="N69" s="612">
        <f t="shared" si="33"/>
        <v>0</v>
      </c>
      <c r="O69" s="612">
        <f t="shared" si="34"/>
        <v>0</v>
      </c>
      <c r="P69" s="612">
        <f t="shared" si="35"/>
        <v>0</v>
      </c>
      <c r="Q69" s="612">
        <f t="shared" si="36"/>
        <v>0</v>
      </c>
      <c r="R69" s="612">
        <f t="shared" si="37"/>
        <v>0</v>
      </c>
      <c r="S69" s="612">
        <f t="shared" si="38"/>
        <v>0</v>
      </c>
      <c r="T69" s="612">
        <f t="shared" si="39"/>
        <v>0</v>
      </c>
      <c r="U69" s="612">
        <f t="shared" si="40"/>
        <v>0</v>
      </c>
      <c r="V69" s="676"/>
      <c r="W69" s="612">
        <f t="shared" si="41"/>
        <v>0</v>
      </c>
      <c r="X69" s="612">
        <f t="shared" si="42"/>
        <v>0</v>
      </c>
      <c r="Y69" s="677"/>
      <c r="Z69" s="678"/>
      <c r="AA69" s="612">
        <f t="shared" si="43"/>
        <v>0</v>
      </c>
      <c r="AB69" s="612">
        <f t="shared" si="44"/>
        <v>0</v>
      </c>
      <c r="AC69" s="612">
        <f t="shared" si="45"/>
        <v>1126246.17</v>
      </c>
      <c r="AD69" s="612">
        <f t="shared" si="46"/>
        <v>1126246.17</v>
      </c>
      <c r="AE69" s="612">
        <f t="shared" si="47"/>
        <v>-1126246.17</v>
      </c>
      <c r="AF69" s="612"/>
      <c r="AG69" s="612"/>
      <c r="AH69" s="612"/>
      <c r="AI69" s="612"/>
      <c r="AJ69" s="679"/>
      <c r="AK69" s="617"/>
      <c r="AL69" s="658"/>
      <c r="AM69" s="469"/>
      <c r="AN69" s="469"/>
      <c r="AO69" s="469"/>
      <c r="AP69" s="469"/>
      <c r="AQ69" s="469"/>
      <c r="AR69" s="469"/>
      <c r="AS69" s="654"/>
      <c r="AT69" s="469"/>
      <c r="AU69" s="469"/>
      <c r="AV69" s="469"/>
      <c r="AW69" s="469"/>
      <c r="AX69" s="469"/>
      <c r="AY69" s="469"/>
      <c r="AZ69" s="469"/>
      <c r="BA69" s="469"/>
      <c r="BB69" s="469"/>
      <c r="BC69" s="469"/>
      <c r="BD69" s="469"/>
      <c r="BE69" s="469"/>
      <c r="BF69" s="547"/>
      <c r="BG69" s="469"/>
      <c r="BH69" s="469"/>
      <c r="BI69" s="469"/>
      <c r="BJ69" s="469"/>
      <c r="BK69" s="469"/>
      <c r="BL69" s="469"/>
      <c r="BM69" s="469"/>
      <c r="BN69" s="469"/>
      <c r="BO69" s="469"/>
      <c r="BP69" s="469"/>
      <c r="BQ69" s="469"/>
      <c r="BR69" s="469"/>
      <c r="BS69" s="634"/>
      <c r="BT69" s="547"/>
      <c r="BU69" s="547"/>
      <c r="BV69" s="547"/>
      <c r="BW69" s="547"/>
      <c r="BX69" s="547"/>
      <c r="BY69" s="547"/>
      <c r="BZ69" s="547"/>
      <c r="CA69" s="547"/>
      <c r="CB69" s="547"/>
      <c r="CC69" s="547"/>
      <c r="CD69" s="547"/>
      <c r="CE69" s="547"/>
      <c r="CF69" s="634"/>
      <c r="CG69" s="547"/>
      <c r="CH69" s="547"/>
      <c r="CI69" s="547"/>
      <c r="CJ69" s="547"/>
      <c r="CK69" s="547"/>
      <c r="CL69" s="547"/>
      <c r="CM69" s="547"/>
      <c r="CN69" s="547"/>
      <c r="CO69" s="547"/>
      <c r="CP69" s="547"/>
      <c r="CQ69" s="547"/>
      <c r="CR69" s="547"/>
      <c r="CS69" s="547"/>
      <c r="CT69" s="547"/>
      <c r="CU69" s="547"/>
      <c r="CV69" s="547"/>
      <c r="CW69" s="547"/>
      <c r="CX69" s="547"/>
      <c r="CY69" s="547"/>
      <c r="CZ69" s="547"/>
      <c r="DA69" s="547">
        <v>614627.9</v>
      </c>
      <c r="DB69" s="547"/>
      <c r="DC69" s="547">
        <v>511618.27</v>
      </c>
      <c r="DD69" s="547"/>
      <c r="DE69" s="547"/>
      <c r="DF69" s="547">
        <f t="shared" si="49"/>
        <v>1126246.17</v>
      </c>
      <c r="DG69" s="547">
        <v>685030.41</v>
      </c>
      <c r="DH69" s="547"/>
      <c r="DI69" s="547"/>
      <c r="DJ69" s="547">
        <v>276111.49</v>
      </c>
      <c r="DK69" s="547"/>
      <c r="DL69" s="547"/>
      <c r="DM69" s="547"/>
      <c r="DN69" s="547"/>
      <c r="DO69" s="469"/>
      <c r="DP69" s="469"/>
      <c r="DQ69" s="469"/>
      <c r="DR69" s="469"/>
      <c r="DS69" s="1">
        <f t="shared" si="53"/>
        <v>961141.9</v>
      </c>
    </row>
    <row r="70" spans="1:123" s="624" customFormat="1" ht="24" x14ac:dyDescent="0.2">
      <c r="A70" s="760" t="s">
        <v>1494</v>
      </c>
      <c r="B70" s="764" t="s">
        <v>57</v>
      </c>
      <c r="C70" s="760" t="s">
        <v>1502</v>
      </c>
      <c r="D70" s="469" t="s">
        <v>2017</v>
      </c>
      <c r="E70" s="469" t="s">
        <v>1517</v>
      </c>
      <c r="F70" s="760" t="s">
        <v>49</v>
      </c>
      <c r="G70" s="760" t="s">
        <v>284</v>
      </c>
      <c r="H70" s="769" t="s">
        <v>61</v>
      </c>
      <c r="I70" s="774">
        <v>45149</v>
      </c>
      <c r="J70" s="774">
        <v>46245</v>
      </c>
      <c r="K70" s="670">
        <v>5663821.8200000003</v>
      </c>
      <c r="L70" s="618"/>
      <c r="M70" s="612">
        <f t="shared" si="32"/>
        <v>0</v>
      </c>
      <c r="N70" s="612">
        <f t="shared" si="33"/>
        <v>0</v>
      </c>
      <c r="O70" s="612">
        <f t="shared" si="34"/>
        <v>5663821.8200000003</v>
      </c>
      <c r="P70" s="612">
        <f t="shared" si="35"/>
        <v>0</v>
      </c>
      <c r="Q70" s="612">
        <f t="shared" si="36"/>
        <v>0</v>
      </c>
      <c r="R70" s="612">
        <f t="shared" si="37"/>
        <v>0</v>
      </c>
      <c r="S70" s="612">
        <f t="shared" si="38"/>
        <v>5663821.8200000003</v>
      </c>
      <c r="T70" s="612">
        <f t="shared" si="39"/>
        <v>0</v>
      </c>
      <c r="U70" s="612">
        <f t="shared" si="40"/>
        <v>0</v>
      </c>
      <c r="V70" s="676">
        <f t="shared" si="54"/>
        <v>0</v>
      </c>
      <c r="W70" s="612">
        <f t="shared" si="41"/>
        <v>5663821.8200000003</v>
      </c>
      <c r="X70" s="612">
        <f t="shared" si="42"/>
        <v>0</v>
      </c>
      <c r="Y70" s="677">
        <f t="shared" si="55"/>
        <v>0</v>
      </c>
      <c r="Z70" s="678">
        <f t="shared" si="56"/>
        <v>0</v>
      </c>
      <c r="AA70" s="612">
        <f t="shared" si="43"/>
        <v>5663821.8200000003</v>
      </c>
      <c r="AB70" s="612">
        <f t="shared" si="44"/>
        <v>0</v>
      </c>
      <c r="AC70" s="612">
        <f t="shared" si="45"/>
        <v>3204266.61</v>
      </c>
      <c r="AD70" s="612">
        <f t="shared" si="46"/>
        <v>3204266.61</v>
      </c>
      <c r="AE70" s="612">
        <f t="shared" si="47"/>
        <v>2459555.2100000004</v>
      </c>
      <c r="AF70" s="612"/>
      <c r="AG70" s="612"/>
      <c r="AH70" s="612"/>
      <c r="AI70" s="612"/>
      <c r="AJ70" s="679">
        <v>0</v>
      </c>
      <c r="AK70" s="617">
        <v>36</v>
      </c>
      <c r="AL70" s="658" t="s">
        <v>1304</v>
      </c>
      <c r="AM70" s="469">
        <v>0</v>
      </c>
      <c r="AN70" s="469">
        <v>0</v>
      </c>
      <c r="AO70" s="469" t="s">
        <v>53</v>
      </c>
      <c r="AP70" s="469" t="s">
        <v>53</v>
      </c>
      <c r="AQ70" s="469" t="s">
        <v>53</v>
      </c>
      <c r="AR70" s="469" t="s">
        <v>54</v>
      </c>
      <c r="AS70" s="654" t="s">
        <v>70</v>
      </c>
      <c r="AT70" s="469"/>
      <c r="AU70" s="469"/>
      <c r="AV70" s="469"/>
      <c r="AW70" s="469"/>
      <c r="AX70" s="469"/>
      <c r="AY70" s="469"/>
      <c r="AZ70" s="469"/>
      <c r="BA70" s="469"/>
      <c r="BB70" s="469"/>
      <c r="BC70" s="469"/>
      <c r="BD70" s="469"/>
      <c r="BE70" s="469"/>
      <c r="BF70" s="547"/>
      <c r="BG70" s="469"/>
      <c r="BH70" s="469"/>
      <c r="BI70" s="469"/>
      <c r="BJ70" s="469"/>
      <c r="BK70" s="469"/>
      <c r="BL70" s="469"/>
      <c r="BM70" s="469"/>
      <c r="BN70" s="469"/>
      <c r="BO70" s="469"/>
      <c r="BP70" s="469"/>
      <c r="BQ70" s="469"/>
      <c r="BR70" s="469"/>
      <c r="BS70" s="634"/>
      <c r="BT70" s="547"/>
      <c r="BU70" s="547"/>
      <c r="BV70" s="547"/>
      <c r="BW70" s="547"/>
      <c r="BX70" s="547"/>
      <c r="BY70" s="547"/>
      <c r="BZ70" s="547"/>
      <c r="CA70" s="547"/>
      <c r="CB70" s="547"/>
      <c r="CC70" s="547"/>
      <c r="CD70" s="547"/>
      <c r="CE70" s="547"/>
      <c r="CF70" s="634"/>
      <c r="CG70" s="547"/>
      <c r="CH70" s="547"/>
      <c r="CI70" s="547"/>
      <c r="CJ70" s="547"/>
      <c r="CK70" s="547"/>
      <c r="CL70" s="547"/>
      <c r="CM70" s="547"/>
      <c r="CN70" s="547"/>
      <c r="CO70" s="547"/>
      <c r="CP70" s="547"/>
      <c r="CQ70" s="547"/>
      <c r="CR70" s="547"/>
      <c r="CS70" s="547"/>
      <c r="CT70" s="469"/>
      <c r="CU70" s="469"/>
      <c r="CV70" s="547">
        <v>696305.68</v>
      </c>
      <c r="CW70" s="547">
        <v>264456</v>
      </c>
      <c r="CX70" s="547">
        <v>707317.38</v>
      </c>
      <c r="CY70" s="547">
        <v>366739.67</v>
      </c>
      <c r="CZ70" s="547">
        <v>182931.88</v>
      </c>
      <c r="DA70" s="469">
        <v>220862.56</v>
      </c>
      <c r="DB70" s="547"/>
      <c r="DC70" s="547">
        <f>593122.16+172531.28</f>
        <v>765653.44000000006</v>
      </c>
      <c r="DD70" s="547"/>
      <c r="DE70" s="547"/>
      <c r="DF70" s="547">
        <f>SUM(CV70:DE70)</f>
        <v>3204266.61</v>
      </c>
      <c r="DG70" s="547">
        <v>409701.76</v>
      </c>
      <c r="DH70" s="547"/>
      <c r="DI70" s="547"/>
      <c r="DJ70" s="547">
        <v>188313.93</v>
      </c>
      <c r="DK70" s="547">
        <v>211807</v>
      </c>
      <c r="DL70" s="547">
        <v>508292.64</v>
      </c>
      <c r="DM70" s="547"/>
      <c r="DN70" s="682">
        <v>566310.89</v>
      </c>
      <c r="DO70" s="469"/>
      <c r="DP70" s="469"/>
      <c r="DQ70" s="683">
        <v>282677.05</v>
      </c>
      <c r="DR70" s="469"/>
      <c r="DS70" s="1">
        <f t="shared" si="53"/>
        <v>2167103.27</v>
      </c>
    </row>
    <row r="71" spans="1:123" s="624" customFormat="1" ht="24" x14ac:dyDescent="0.2">
      <c r="A71" s="760"/>
      <c r="B71" s="764"/>
      <c r="C71" s="760"/>
      <c r="D71" s="469" t="s">
        <v>303</v>
      </c>
      <c r="E71" s="469" t="s">
        <v>275</v>
      </c>
      <c r="F71" s="760"/>
      <c r="G71" s="760"/>
      <c r="H71" s="769"/>
      <c r="I71" s="774"/>
      <c r="J71" s="774"/>
      <c r="K71" s="670">
        <f>K70*14/100</f>
        <v>792935.05480000004</v>
      </c>
      <c r="L71" s="618"/>
      <c r="M71" s="612">
        <f t="shared" si="32"/>
        <v>0</v>
      </c>
      <c r="N71" s="612">
        <f t="shared" si="33"/>
        <v>0</v>
      </c>
      <c r="O71" s="612">
        <f t="shared" si="34"/>
        <v>792935.05480000004</v>
      </c>
      <c r="P71" s="612">
        <f t="shared" si="35"/>
        <v>0</v>
      </c>
      <c r="Q71" s="612">
        <f t="shared" si="36"/>
        <v>0</v>
      </c>
      <c r="R71" s="612">
        <f t="shared" si="37"/>
        <v>0</v>
      </c>
      <c r="S71" s="612">
        <f t="shared" si="38"/>
        <v>792935.05480000004</v>
      </c>
      <c r="T71" s="612">
        <f t="shared" si="39"/>
        <v>0</v>
      </c>
      <c r="U71" s="612">
        <f t="shared" si="40"/>
        <v>0</v>
      </c>
      <c r="V71" s="676">
        <f t="shared" si="54"/>
        <v>0</v>
      </c>
      <c r="W71" s="612">
        <f t="shared" si="41"/>
        <v>792935.05480000004</v>
      </c>
      <c r="X71" s="612">
        <f t="shared" si="42"/>
        <v>0</v>
      </c>
      <c r="Y71" s="677">
        <f t="shared" si="55"/>
        <v>0</v>
      </c>
      <c r="Z71" s="678">
        <f t="shared" si="56"/>
        <v>0</v>
      </c>
      <c r="AA71" s="612">
        <f t="shared" si="43"/>
        <v>792935.05480000004</v>
      </c>
      <c r="AB71" s="612">
        <f t="shared" si="44"/>
        <v>0</v>
      </c>
      <c r="AC71" s="612">
        <f t="shared" si="45"/>
        <v>774037.48</v>
      </c>
      <c r="AD71" s="612">
        <f t="shared" si="46"/>
        <v>774037.48</v>
      </c>
      <c r="AE71" s="612">
        <f t="shared" si="47"/>
        <v>18897.57480000006</v>
      </c>
      <c r="AF71" s="612"/>
      <c r="AG71" s="612"/>
      <c r="AH71" s="612"/>
      <c r="AI71" s="612"/>
      <c r="AJ71" s="679">
        <v>0</v>
      </c>
      <c r="AK71" s="617">
        <v>36</v>
      </c>
      <c r="AL71" s="658" t="s">
        <v>1304</v>
      </c>
      <c r="AM71" s="469">
        <v>0</v>
      </c>
      <c r="AN71" s="469">
        <v>0</v>
      </c>
      <c r="AO71" s="469" t="s">
        <v>53</v>
      </c>
      <c r="AP71" s="469" t="s">
        <v>53</v>
      </c>
      <c r="AQ71" s="469" t="s">
        <v>53</v>
      </c>
      <c r="AR71" s="469" t="s">
        <v>54</v>
      </c>
      <c r="AS71" s="654" t="s">
        <v>70</v>
      </c>
      <c r="AT71" s="469"/>
      <c r="AU71" s="469"/>
      <c r="AV71" s="469"/>
      <c r="AW71" s="469"/>
      <c r="AX71" s="469"/>
      <c r="AY71" s="469"/>
      <c r="AZ71" s="469"/>
      <c r="BA71" s="469"/>
      <c r="BB71" s="469"/>
      <c r="BC71" s="469"/>
      <c r="BD71" s="469"/>
      <c r="BE71" s="469"/>
      <c r="BF71" s="547"/>
      <c r="BG71" s="469"/>
      <c r="BH71" s="469"/>
      <c r="BI71" s="469"/>
      <c r="BJ71" s="469"/>
      <c r="BK71" s="469"/>
      <c r="BL71" s="469"/>
      <c r="BM71" s="469"/>
      <c r="BN71" s="469"/>
      <c r="BO71" s="469"/>
      <c r="BP71" s="469"/>
      <c r="BQ71" s="469"/>
      <c r="BR71" s="469"/>
      <c r="BS71" s="634"/>
      <c r="BT71" s="547"/>
      <c r="BU71" s="547"/>
      <c r="BV71" s="547"/>
      <c r="BW71" s="547"/>
      <c r="BX71" s="547"/>
      <c r="BY71" s="547"/>
      <c r="BZ71" s="547"/>
      <c r="CA71" s="547"/>
      <c r="CB71" s="547"/>
      <c r="CC71" s="547"/>
      <c r="CD71" s="547"/>
      <c r="CE71" s="547"/>
      <c r="CF71" s="634"/>
      <c r="CG71" s="547"/>
      <c r="CH71" s="547"/>
      <c r="CI71" s="547"/>
      <c r="CJ71" s="547"/>
      <c r="CK71" s="547"/>
      <c r="CL71" s="547"/>
      <c r="CM71" s="547"/>
      <c r="CN71" s="547"/>
      <c r="CO71" s="547"/>
      <c r="CP71" s="547"/>
      <c r="CQ71" s="547"/>
      <c r="CR71" s="547"/>
      <c r="CS71" s="547"/>
      <c r="CT71" s="547">
        <v>566187.15</v>
      </c>
      <c r="CU71" s="547">
        <v>0</v>
      </c>
      <c r="CV71" s="547">
        <v>128556.83</v>
      </c>
      <c r="CW71" s="547"/>
      <c r="CX71" s="547"/>
      <c r="CY71" s="547"/>
      <c r="CZ71" s="469"/>
      <c r="DA71" s="547">
        <v>79293.5</v>
      </c>
      <c r="DB71" s="547"/>
      <c r="DC71" s="547"/>
      <c r="DD71" s="547"/>
      <c r="DE71" s="547"/>
      <c r="DF71" s="547">
        <f>SUM(CT71:DE71)</f>
        <v>774037.48</v>
      </c>
      <c r="DG71" s="547"/>
      <c r="DH71" s="547"/>
      <c r="DI71" s="547"/>
      <c r="DJ71" s="547"/>
      <c r="DK71" s="547"/>
      <c r="DL71" s="547"/>
      <c r="DM71" s="547"/>
      <c r="DN71" s="547"/>
      <c r="DO71" s="469"/>
      <c r="DP71" s="469"/>
      <c r="DQ71" s="469"/>
      <c r="DR71" s="469">
        <v>18832.21</v>
      </c>
      <c r="DS71" s="1">
        <f t="shared" si="53"/>
        <v>18832.21</v>
      </c>
    </row>
    <row r="72" spans="1:123" s="624" customFormat="1" ht="24" x14ac:dyDescent="0.2">
      <c r="A72" s="760" t="s">
        <v>1494</v>
      </c>
      <c r="B72" s="764" t="s">
        <v>107</v>
      </c>
      <c r="C72" s="760" t="s">
        <v>1504</v>
      </c>
      <c r="D72" s="469" t="s">
        <v>2016</v>
      </c>
      <c r="E72" s="469" t="s">
        <v>1889</v>
      </c>
      <c r="F72" s="760" t="s">
        <v>49</v>
      </c>
      <c r="G72" s="760" t="s">
        <v>284</v>
      </c>
      <c r="H72" s="769" t="s">
        <v>61</v>
      </c>
      <c r="I72" s="774">
        <v>45278</v>
      </c>
      <c r="J72" s="774">
        <v>46374</v>
      </c>
      <c r="K72" s="670">
        <v>4666089.88</v>
      </c>
      <c r="L72" s="618"/>
      <c r="M72" s="612">
        <f t="shared" si="32"/>
        <v>0</v>
      </c>
      <c r="N72" s="612">
        <f t="shared" si="33"/>
        <v>0</v>
      </c>
      <c r="O72" s="612">
        <f t="shared" si="34"/>
        <v>4666089.88</v>
      </c>
      <c r="P72" s="612">
        <f t="shared" si="35"/>
        <v>0</v>
      </c>
      <c r="Q72" s="612">
        <f t="shared" si="36"/>
        <v>0</v>
      </c>
      <c r="R72" s="612">
        <f t="shared" si="37"/>
        <v>0</v>
      </c>
      <c r="S72" s="612">
        <f t="shared" si="38"/>
        <v>4666089.88</v>
      </c>
      <c r="T72" s="612">
        <f t="shared" si="39"/>
        <v>0</v>
      </c>
      <c r="U72" s="612">
        <f t="shared" si="40"/>
        <v>0</v>
      </c>
      <c r="V72" s="676">
        <f t="shared" si="54"/>
        <v>0</v>
      </c>
      <c r="W72" s="612">
        <f t="shared" si="41"/>
        <v>4666089.88</v>
      </c>
      <c r="X72" s="612">
        <f t="shared" si="42"/>
        <v>0</v>
      </c>
      <c r="Y72" s="677">
        <f t="shared" si="55"/>
        <v>0</v>
      </c>
      <c r="Z72" s="678">
        <f t="shared" si="56"/>
        <v>0</v>
      </c>
      <c r="AA72" s="612">
        <f t="shared" si="43"/>
        <v>4666089.88</v>
      </c>
      <c r="AB72" s="612">
        <f t="shared" si="44"/>
        <v>0</v>
      </c>
      <c r="AC72" s="612">
        <f t="shared" si="45"/>
        <v>1416328.87</v>
      </c>
      <c r="AD72" s="612">
        <f t="shared" si="46"/>
        <v>1416328.87</v>
      </c>
      <c r="AE72" s="612">
        <f t="shared" si="47"/>
        <v>3249761.01</v>
      </c>
      <c r="AF72" s="612"/>
      <c r="AG72" s="612"/>
      <c r="AH72" s="612"/>
      <c r="AI72" s="612"/>
      <c r="AJ72" s="679">
        <v>0</v>
      </c>
      <c r="AK72" s="617">
        <v>36</v>
      </c>
      <c r="AL72" s="658" t="s">
        <v>1304</v>
      </c>
      <c r="AM72" s="469">
        <v>0</v>
      </c>
      <c r="AN72" s="469">
        <v>0</v>
      </c>
      <c r="AO72" s="469" t="s">
        <v>53</v>
      </c>
      <c r="AP72" s="469" t="s">
        <v>53</v>
      </c>
      <c r="AQ72" s="469" t="s">
        <v>53</v>
      </c>
      <c r="AR72" s="469" t="s">
        <v>54</v>
      </c>
      <c r="AS72" s="654" t="s">
        <v>70</v>
      </c>
      <c r="AT72" s="469"/>
      <c r="AU72" s="469"/>
      <c r="AV72" s="469"/>
      <c r="AW72" s="469"/>
      <c r="AX72" s="469"/>
      <c r="AY72" s="469"/>
      <c r="AZ72" s="469"/>
      <c r="BA72" s="469"/>
      <c r="BB72" s="469"/>
      <c r="BC72" s="469"/>
      <c r="BD72" s="469"/>
      <c r="BE72" s="469"/>
      <c r="BF72" s="547"/>
      <c r="BG72" s="469"/>
      <c r="BH72" s="469"/>
      <c r="BI72" s="469"/>
      <c r="BJ72" s="469"/>
      <c r="BK72" s="469"/>
      <c r="BL72" s="469"/>
      <c r="BM72" s="469"/>
      <c r="BN72" s="469"/>
      <c r="BO72" s="469"/>
      <c r="BP72" s="469"/>
      <c r="BQ72" s="469"/>
      <c r="BR72" s="469"/>
      <c r="BS72" s="634"/>
      <c r="BT72" s="547"/>
      <c r="BU72" s="547"/>
      <c r="BV72" s="547"/>
      <c r="BW72" s="547"/>
      <c r="BX72" s="547"/>
      <c r="BY72" s="547"/>
      <c r="BZ72" s="547"/>
      <c r="CA72" s="547"/>
      <c r="CB72" s="547"/>
      <c r="CC72" s="547"/>
      <c r="CD72" s="547"/>
      <c r="CE72" s="547"/>
      <c r="CF72" s="634"/>
      <c r="CG72" s="547"/>
      <c r="CH72" s="547"/>
      <c r="CI72" s="547"/>
      <c r="CJ72" s="547"/>
      <c r="CK72" s="547"/>
      <c r="CL72" s="547"/>
      <c r="CM72" s="547"/>
      <c r="CN72" s="547"/>
      <c r="CO72" s="547"/>
      <c r="CP72" s="547"/>
      <c r="CQ72" s="547"/>
      <c r="CR72" s="547"/>
      <c r="CS72" s="547"/>
      <c r="CT72" s="547"/>
      <c r="CU72" s="547"/>
      <c r="CV72" s="547"/>
      <c r="CW72" s="547"/>
      <c r="CX72" s="547"/>
      <c r="CY72" s="547"/>
      <c r="CZ72" s="547"/>
      <c r="DA72" s="547">
        <v>403972</v>
      </c>
      <c r="DB72" s="547"/>
      <c r="DC72" s="547">
        <v>442765.04</v>
      </c>
      <c r="DD72" s="547">
        <v>569591.82999999996</v>
      </c>
      <c r="DE72" s="547"/>
      <c r="DF72" s="547">
        <f t="shared" si="49"/>
        <v>1416328.87</v>
      </c>
      <c r="DG72" s="547"/>
      <c r="DH72" s="547">
        <v>939224.53</v>
      </c>
      <c r="DI72" s="547">
        <v>922889.88</v>
      </c>
      <c r="DJ72" s="547"/>
      <c r="DK72" s="547">
        <v>369311.97</v>
      </c>
      <c r="DL72" s="547"/>
      <c r="DM72" s="547">
        <v>525518.47</v>
      </c>
      <c r="DN72" s="547"/>
      <c r="DO72" s="469"/>
      <c r="DP72" s="469"/>
      <c r="DQ72" s="469"/>
      <c r="DR72" s="469">
        <f>25779.77+233280.75</f>
        <v>259060.52</v>
      </c>
      <c r="DS72" s="1">
        <f t="shared" si="53"/>
        <v>3016005.3699999996</v>
      </c>
    </row>
    <row r="73" spans="1:123" s="624" customFormat="1" ht="24" x14ac:dyDescent="0.2">
      <c r="A73" s="760"/>
      <c r="B73" s="764"/>
      <c r="C73" s="760"/>
      <c r="D73" s="469" t="s">
        <v>2015</v>
      </c>
      <c r="E73" s="469" t="s">
        <v>1476</v>
      </c>
      <c r="F73" s="760"/>
      <c r="G73" s="760"/>
      <c r="H73" s="769"/>
      <c r="I73" s="774"/>
      <c r="J73" s="774"/>
      <c r="K73" s="670">
        <f>K72*14/100</f>
        <v>653252.58319999999</v>
      </c>
      <c r="L73" s="618"/>
      <c r="M73" s="612">
        <f t="shared" si="32"/>
        <v>0</v>
      </c>
      <c r="N73" s="612">
        <f t="shared" si="33"/>
        <v>0</v>
      </c>
      <c r="O73" s="612">
        <f t="shared" si="34"/>
        <v>653252.58319999999</v>
      </c>
      <c r="P73" s="612">
        <f t="shared" si="35"/>
        <v>0</v>
      </c>
      <c r="Q73" s="612">
        <f t="shared" si="36"/>
        <v>0</v>
      </c>
      <c r="R73" s="612">
        <f t="shared" si="37"/>
        <v>0</v>
      </c>
      <c r="S73" s="612">
        <f t="shared" si="38"/>
        <v>653252.58319999999</v>
      </c>
      <c r="T73" s="612">
        <f t="shared" si="39"/>
        <v>0</v>
      </c>
      <c r="U73" s="612">
        <f t="shared" si="40"/>
        <v>0</v>
      </c>
      <c r="V73" s="676">
        <f t="shared" si="54"/>
        <v>0</v>
      </c>
      <c r="W73" s="612">
        <f t="shared" si="41"/>
        <v>653252.58319999999</v>
      </c>
      <c r="X73" s="612">
        <f t="shared" si="42"/>
        <v>0</v>
      </c>
      <c r="Y73" s="677">
        <f t="shared" si="55"/>
        <v>0</v>
      </c>
      <c r="Z73" s="678">
        <f t="shared" si="56"/>
        <v>0</v>
      </c>
      <c r="AA73" s="612">
        <f t="shared" si="43"/>
        <v>653252.58319999999</v>
      </c>
      <c r="AB73" s="612">
        <f t="shared" si="44"/>
        <v>0</v>
      </c>
      <c r="AC73" s="612">
        <f t="shared" si="45"/>
        <v>425204.24</v>
      </c>
      <c r="AD73" s="612">
        <f t="shared" si="46"/>
        <v>425204.24</v>
      </c>
      <c r="AE73" s="612">
        <f t="shared" si="47"/>
        <v>228048.3432</v>
      </c>
      <c r="AF73" s="612"/>
      <c r="AG73" s="612"/>
      <c r="AH73" s="612"/>
      <c r="AI73" s="612"/>
      <c r="AJ73" s="679">
        <v>0</v>
      </c>
      <c r="AK73" s="617">
        <v>36</v>
      </c>
      <c r="AL73" s="658" t="s">
        <v>1304</v>
      </c>
      <c r="AM73" s="469">
        <v>0</v>
      </c>
      <c r="AN73" s="469">
        <v>0</v>
      </c>
      <c r="AO73" s="469" t="s">
        <v>53</v>
      </c>
      <c r="AP73" s="469" t="s">
        <v>53</v>
      </c>
      <c r="AQ73" s="469" t="s">
        <v>53</v>
      </c>
      <c r="AR73" s="469" t="s">
        <v>54</v>
      </c>
      <c r="AS73" s="654" t="s">
        <v>70</v>
      </c>
      <c r="AT73" s="469"/>
      <c r="AU73" s="469"/>
      <c r="AV73" s="469"/>
      <c r="AW73" s="469"/>
      <c r="AX73" s="469"/>
      <c r="AY73" s="469"/>
      <c r="AZ73" s="469"/>
      <c r="BA73" s="469"/>
      <c r="BB73" s="469"/>
      <c r="BC73" s="469"/>
      <c r="BD73" s="469"/>
      <c r="BE73" s="469"/>
      <c r="BF73" s="547"/>
      <c r="BG73" s="469"/>
      <c r="BH73" s="469"/>
      <c r="BI73" s="469"/>
      <c r="BJ73" s="469"/>
      <c r="BK73" s="469"/>
      <c r="BL73" s="469"/>
      <c r="BM73" s="469"/>
      <c r="BN73" s="469"/>
      <c r="BO73" s="469"/>
      <c r="BP73" s="469"/>
      <c r="BQ73" s="469"/>
      <c r="BR73" s="469"/>
      <c r="BS73" s="634"/>
      <c r="BT73" s="547"/>
      <c r="BU73" s="547"/>
      <c r="BV73" s="547"/>
      <c r="BW73" s="547"/>
      <c r="BX73" s="547"/>
      <c r="BY73" s="547"/>
      <c r="BZ73" s="547"/>
      <c r="CA73" s="547"/>
      <c r="CB73" s="547"/>
      <c r="CC73" s="547"/>
      <c r="CD73" s="547"/>
      <c r="CE73" s="547"/>
      <c r="CF73" s="634"/>
      <c r="CG73" s="547"/>
      <c r="CH73" s="547"/>
      <c r="CI73" s="547"/>
      <c r="CJ73" s="547"/>
      <c r="CK73" s="547"/>
      <c r="CL73" s="547"/>
      <c r="CM73" s="547"/>
      <c r="CN73" s="547"/>
      <c r="CO73" s="547"/>
      <c r="CP73" s="547"/>
      <c r="CQ73" s="547"/>
      <c r="CR73" s="547"/>
      <c r="CS73" s="547"/>
      <c r="CT73" s="547">
        <v>425204.24</v>
      </c>
      <c r="CU73" s="547"/>
      <c r="CV73" s="547"/>
      <c r="CW73" s="547"/>
      <c r="CX73" s="547"/>
      <c r="CY73" s="547"/>
      <c r="CZ73" s="547"/>
      <c r="DA73" s="547"/>
      <c r="DB73" s="547"/>
      <c r="DC73" s="547"/>
      <c r="DD73" s="547"/>
      <c r="DE73" s="547"/>
      <c r="DF73" s="547">
        <f t="shared" si="49"/>
        <v>425204.24</v>
      </c>
      <c r="DG73" s="547"/>
      <c r="DH73" s="547"/>
      <c r="DI73" s="547"/>
      <c r="DJ73" s="547">
        <v>43269.89</v>
      </c>
      <c r="DK73" s="547"/>
      <c r="DL73" s="547"/>
      <c r="DM73" s="547"/>
      <c r="DN73" s="547"/>
      <c r="DO73" s="469"/>
      <c r="DP73" s="469"/>
      <c r="DQ73" s="469"/>
      <c r="DR73" s="469">
        <v>44795.75</v>
      </c>
      <c r="DS73" s="1">
        <f t="shared" si="53"/>
        <v>88065.64</v>
      </c>
    </row>
    <row r="74" spans="1:123" ht="24" hidden="1" x14ac:dyDescent="0.2">
      <c r="A74" s="763" t="s">
        <v>1494</v>
      </c>
      <c r="B74" s="765" t="s">
        <v>107</v>
      </c>
      <c r="C74" s="763" t="s">
        <v>1505</v>
      </c>
      <c r="D74" s="4" t="s">
        <v>1633</v>
      </c>
      <c r="E74" s="360" t="s">
        <v>302</v>
      </c>
      <c r="F74" s="763" t="s">
        <v>49</v>
      </c>
      <c r="G74" s="763" t="s">
        <v>284</v>
      </c>
      <c r="H74" s="775" t="s">
        <v>61</v>
      </c>
      <c r="I74" s="773">
        <v>45278</v>
      </c>
      <c r="J74" s="773">
        <v>46374</v>
      </c>
      <c r="K74" s="470">
        <v>4670227.87</v>
      </c>
      <c r="L74" s="15"/>
      <c r="M74" s="136">
        <f t="shared" si="32"/>
        <v>0</v>
      </c>
      <c r="N74" s="136">
        <f t="shared" si="33"/>
        <v>0</v>
      </c>
      <c r="O74" s="136">
        <f t="shared" si="34"/>
        <v>4670227.87</v>
      </c>
      <c r="P74" s="136">
        <f t="shared" si="35"/>
        <v>0</v>
      </c>
      <c r="Q74" s="136">
        <f t="shared" si="36"/>
        <v>0</v>
      </c>
      <c r="R74" s="136">
        <f t="shared" si="37"/>
        <v>0</v>
      </c>
      <c r="S74" s="136">
        <f t="shared" si="38"/>
        <v>4670227.87</v>
      </c>
      <c r="T74" s="136">
        <f t="shared" si="39"/>
        <v>0</v>
      </c>
      <c r="U74" s="136">
        <f t="shared" si="40"/>
        <v>0</v>
      </c>
      <c r="V74" s="467">
        <f t="shared" si="54"/>
        <v>0</v>
      </c>
      <c r="W74" s="136">
        <f t="shared" si="41"/>
        <v>4670227.87</v>
      </c>
      <c r="X74" s="136">
        <f t="shared" si="42"/>
        <v>0</v>
      </c>
      <c r="Y74" s="468">
        <f t="shared" si="55"/>
        <v>0</v>
      </c>
      <c r="Z74" s="18">
        <f t="shared" si="56"/>
        <v>0</v>
      </c>
      <c r="AA74" s="136">
        <f t="shared" si="43"/>
        <v>4670227.87</v>
      </c>
      <c r="AB74" s="136">
        <f t="shared" si="44"/>
        <v>0</v>
      </c>
      <c r="AC74" s="136">
        <f t="shared" si="45"/>
        <v>1799036</v>
      </c>
      <c r="AD74" s="136">
        <f t="shared" si="46"/>
        <v>1799036</v>
      </c>
      <c r="AE74" s="136">
        <f t="shared" si="47"/>
        <v>2871191.87</v>
      </c>
      <c r="AF74" s="136"/>
      <c r="AG74" s="136"/>
      <c r="AH74" s="136"/>
      <c r="AI74" s="136"/>
      <c r="AJ74" s="223">
        <v>0</v>
      </c>
      <c r="AK74" s="46">
        <v>36</v>
      </c>
      <c r="AL74" s="104" t="s">
        <v>1304</v>
      </c>
      <c r="AM74" s="1">
        <v>0</v>
      </c>
      <c r="AN74" s="1">
        <v>0</v>
      </c>
      <c r="AO74" s="1" t="s">
        <v>53</v>
      </c>
      <c r="AP74" s="1" t="s">
        <v>53</v>
      </c>
      <c r="AQ74" s="1" t="s">
        <v>53</v>
      </c>
      <c r="AR74" s="1" t="s">
        <v>54</v>
      </c>
      <c r="AS74" s="141" t="s">
        <v>70</v>
      </c>
      <c r="AT74" s="1"/>
      <c r="AU74" s="1"/>
      <c r="AV74" s="1"/>
      <c r="AW74" s="1"/>
      <c r="AX74" s="1"/>
      <c r="AY74" s="1"/>
      <c r="AZ74" s="1"/>
      <c r="BA74" s="1"/>
      <c r="BB74" s="1"/>
      <c r="BC74" s="1"/>
      <c r="BD74" s="1"/>
      <c r="BE74" s="1"/>
      <c r="BF74" s="42"/>
      <c r="BG74" s="1"/>
      <c r="BH74" s="1"/>
      <c r="BI74" s="1"/>
      <c r="BJ74" s="1"/>
      <c r="BK74" s="1"/>
      <c r="BL74" s="1"/>
      <c r="BM74" s="1"/>
      <c r="BN74" s="1"/>
      <c r="BO74" s="1"/>
      <c r="BP74" s="1"/>
      <c r="BQ74" s="1"/>
      <c r="BR74" s="1"/>
      <c r="BS74" s="242"/>
      <c r="BT74" s="42"/>
      <c r="BU74" s="42"/>
      <c r="BV74" s="42"/>
      <c r="BW74" s="42"/>
      <c r="BX74" s="42"/>
      <c r="BY74" s="42"/>
      <c r="BZ74" s="42"/>
      <c r="CA74" s="42"/>
      <c r="CB74" s="42"/>
      <c r="CC74" s="42"/>
      <c r="CD74" s="42"/>
      <c r="CE74" s="42"/>
      <c r="CF74" s="242"/>
      <c r="CG74" s="42"/>
      <c r="CH74" s="42"/>
      <c r="CI74" s="42"/>
      <c r="CJ74" s="42"/>
      <c r="CK74" s="42"/>
      <c r="CL74" s="42"/>
      <c r="CM74" s="42"/>
      <c r="CN74" s="42"/>
      <c r="CO74" s="42"/>
      <c r="CP74" s="42"/>
      <c r="CQ74" s="42"/>
      <c r="CR74" s="42"/>
      <c r="CS74" s="42"/>
      <c r="CT74" s="42"/>
      <c r="CU74" s="42"/>
      <c r="CV74" s="42"/>
      <c r="CW74" s="42"/>
      <c r="CX74" s="42"/>
      <c r="CY74" s="1"/>
      <c r="CZ74" s="42"/>
      <c r="DA74" s="42">
        <v>649788.64</v>
      </c>
      <c r="DB74" s="42"/>
      <c r="DC74" s="42">
        <f>535799.8+613447.56</f>
        <v>1149247.3600000001</v>
      </c>
      <c r="DD74" s="42"/>
      <c r="DE74" s="42"/>
      <c r="DF74" s="42">
        <f t="shared" si="49"/>
        <v>1799036</v>
      </c>
      <c r="DG74" s="42"/>
      <c r="DH74" s="42"/>
      <c r="DI74" s="42"/>
      <c r="DJ74" s="42"/>
      <c r="DK74" s="42"/>
      <c r="DL74" s="42"/>
      <c r="DM74" s="42"/>
      <c r="DN74" s="42"/>
      <c r="DO74" s="1"/>
      <c r="DP74" s="1"/>
      <c r="DQ74" s="1"/>
      <c r="DR74" s="1"/>
      <c r="DS74" s="1">
        <f t="shared" si="53"/>
        <v>0</v>
      </c>
    </row>
    <row r="75" spans="1:123" ht="24" hidden="1" x14ac:dyDescent="0.2">
      <c r="A75" s="763"/>
      <c r="B75" s="765"/>
      <c r="C75" s="763"/>
      <c r="D75" s="4" t="s">
        <v>1506</v>
      </c>
      <c r="E75" s="1" t="s">
        <v>1486</v>
      </c>
      <c r="F75" s="763"/>
      <c r="G75" s="763"/>
      <c r="H75" s="775"/>
      <c r="I75" s="773"/>
      <c r="J75" s="773"/>
      <c r="K75" s="470">
        <f>K74*14/100</f>
        <v>653831.90179999999</v>
      </c>
      <c r="L75" s="15"/>
      <c r="M75" s="136">
        <f t="shared" si="32"/>
        <v>0</v>
      </c>
      <c r="N75" s="136">
        <f t="shared" si="33"/>
        <v>0</v>
      </c>
      <c r="O75" s="136">
        <f t="shared" si="34"/>
        <v>653831.90179999999</v>
      </c>
      <c r="P75" s="136">
        <f t="shared" si="35"/>
        <v>0</v>
      </c>
      <c r="Q75" s="136">
        <f t="shared" si="36"/>
        <v>0</v>
      </c>
      <c r="R75" s="136">
        <f t="shared" si="37"/>
        <v>0</v>
      </c>
      <c r="S75" s="136">
        <f t="shared" si="38"/>
        <v>653831.90179999999</v>
      </c>
      <c r="T75" s="136">
        <f t="shared" si="39"/>
        <v>0</v>
      </c>
      <c r="U75" s="136">
        <f t="shared" si="40"/>
        <v>0</v>
      </c>
      <c r="V75" s="467">
        <f t="shared" si="54"/>
        <v>0</v>
      </c>
      <c r="W75" s="136">
        <f t="shared" si="41"/>
        <v>653831.90179999999</v>
      </c>
      <c r="X75" s="136">
        <f t="shared" si="42"/>
        <v>0</v>
      </c>
      <c r="Y75" s="468">
        <f t="shared" si="55"/>
        <v>0</v>
      </c>
      <c r="Z75" s="18">
        <f t="shared" si="56"/>
        <v>0</v>
      </c>
      <c r="AA75" s="136">
        <f t="shared" si="43"/>
        <v>653831.90179999999</v>
      </c>
      <c r="AB75" s="136">
        <f t="shared" si="44"/>
        <v>0</v>
      </c>
      <c r="AC75" s="136">
        <f t="shared" si="45"/>
        <v>761579.62000000011</v>
      </c>
      <c r="AD75" s="136">
        <f t="shared" si="46"/>
        <v>761579.62000000011</v>
      </c>
      <c r="AE75" s="136">
        <f t="shared" si="47"/>
        <v>-107747.71820000012</v>
      </c>
      <c r="AF75" s="136"/>
      <c r="AG75" s="136"/>
      <c r="AH75" s="136"/>
      <c r="AI75" s="136"/>
      <c r="AJ75" s="223">
        <v>0</v>
      </c>
      <c r="AK75" s="46">
        <v>36</v>
      </c>
      <c r="AL75" s="104" t="s">
        <v>1304</v>
      </c>
      <c r="AM75" s="1">
        <v>0</v>
      </c>
      <c r="AN75" s="1">
        <v>0</v>
      </c>
      <c r="AO75" s="1" t="s">
        <v>53</v>
      </c>
      <c r="AP75" s="1" t="s">
        <v>53</v>
      </c>
      <c r="AQ75" s="1" t="s">
        <v>53</v>
      </c>
      <c r="AR75" s="1" t="s">
        <v>54</v>
      </c>
      <c r="AS75" s="141" t="s">
        <v>70</v>
      </c>
      <c r="AT75" s="1"/>
      <c r="AU75" s="1"/>
      <c r="AV75" s="1"/>
      <c r="AW75" s="1"/>
      <c r="AX75" s="1"/>
      <c r="AY75" s="1"/>
      <c r="AZ75" s="1"/>
      <c r="BA75" s="1"/>
      <c r="BB75" s="1"/>
      <c r="BC75" s="1"/>
      <c r="BD75" s="1"/>
      <c r="BE75" s="1"/>
      <c r="BF75" s="42"/>
      <c r="BG75" s="1"/>
      <c r="BH75" s="1"/>
      <c r="BI75" s="1"/>
      <c r="BJ75" s="1"/>
      <c r="BK75" s="1"/>
      <c r="BL75" s="1"/>
      <c r="BM75" s="1"/>
      <c r="BN75" s="1"/>
      <c r="BO75" s="1"/>
      <c r="BP75" s="1"/>
      <c r="BQ75" s="1"/>
      <c r="BR75" s="1"/>
      <c r="BS75" s="242"/>
      <c r="BT75" s="42"/>
      <c r="BU75" s="42"/>
      <c r="BV75" s="42"/>
      <c r="BW75" s="42"/>
      <c r="BX75" s="42"/>
      <c r="BY75" s="42"/>
      <c r="BZ75" s="42"/>
      <c r="CA75" s="42"/>
      <c r="CB75" s="42"/>
      <c r="CC75" s="42"/>
      <c r="CD75" s="42"/>
      <c r="CE75" s="42"/>
      <c r="CF75" s="242"/>
      <c r="CG75" s="42"/>
      <c r="CH75" s="42"/>
      <c r="CI75" s="42"/>
      <c r="CJ75" s="42"/>
      <c r="CK75" s="42"/>
      <c r="CL75" s="42"/>
      <c r="CM75" s="42"/>
      <c r="CN75" s="42"/>
      <c r="CO75" s="42"/>
      <c r="CP75" s="42"/>
      <c r="CQ75" s="42"/>
      <c r="CR75" s="42"/>
      <c r="CS75" s="42"/>
      <c r="CT75" s="1"/>
      <c r="CU75" s="42">
        <v>574831.78</v>
      </c>
      <c r="CV75" s="42"/>
      <c r="CW75" s="42"/>
      <c r="CX75" s="42"/>
      <c r="CY75" s="42"/>
      <c r="CZ75" s="42"/>
      <c r="DA75" s="42"/>
      <c r="DB75" s="42"/>
      <c r="DC75" s="42">
        <f>132806.7+53941.14</f>
        <v>186747.84000000003</v>
      </c>
      <c r="DD75" s="42"/>
      <c r="DE75" s="42"/>
      <c r="DF75" s="42">
        <f>SUM(CU75:DE75)</f>
        <v>761579.62000000011</v>
      </c>
      <c r="DG75" s="42"/>
      <c r="DH75" s="42"/>
      <c r="DI75" s="42"/>
      <c r="DJ75" s="42"/>
      <c r="DK75" s="42"/>
      <c r="DL75" s="42"/>
      <c r="DM75" s="42"/>
      <c r="DN75" s="42"/>
      <c r="DO75" s="1"/>
      <c r="DP75" s="1"/>
      <c r="DQ75" s="1"/>
      <c r="DR75" s="1"/>
      <c r="DS75" s="1">
        <f t="shared" si="53"/>
        <v>0</v>
      </c>
    </row>
    <row r="76" spans="1:123" s="624" customFormat="1" ht="24" x14ac:dyDescent="0.2">
      <c r="A76" s="760" t="s">
        <v>1494</v>
      </c>
      <c r="B76" s="764" t="s">
        <v>107</v>
      </c>
      <c r="C76" s="760" t="s">
        <v>1507</v>
      </c>
      <c r="D76" s="469" t="s">
        <v>2014</v>
      </c>
      <c r="E76" s="469" t="s">
        <v>1890</v>
      </c>
      <c r="F76" s="760" t="s">
        <v>49</v>
      </c>
      <c r="G76" s="760" t="s">
        <v>284</v>
      </c>
      <c r="H76" s="769" t="s">
        <v>61</v>
      </c>
      <c r="I76" s="774">
        <v>45278</v>
      </c>
      <c r="J76" s="774">
        <v>46374</v>
      </c>
      <c r="K76" s="670">
        <v>2308306</v>
      </c>
      <c r="L76" s="618"/>
      <c r="M76" s="612">
        <f t="shared" si="32"/>
        <v>0</v>
      </c>
      <c r="N76" s="612">
        <f t="shared" si="33"/>
        <v>0</v>
      </c>
      <c r="O76" s="612">
        <f t="shared" si="34"/>
        <v>2308306</v>
      </c>
      <c r="P76" s="612">
        <f t="shared" si="35"/>
        <v>0</v>
      </c>
      <c r="Q76" s="612">
        <f t="shared" si="36"/>
        <v>0</v>
      </c>
      <c r="R76" s="612">
        <f t="shared" si="37"/>
        <v>0</v>
      </c>
      <c r="S76" s="612">
        <f t="shared" si="38"/>
        <v>2308306</v>
      </c>
      <c r="T76" s="612">
        <f t="shared" si="39"/>
        <v>0</v>
      </c>
      <c r="U76" s="612">
        <f t="shared" si="40"/>
        <v>0</v>
      </c>
      <c r="V76" s="676">
        <f t="shared" si="54"/>
        <v>0</v>
      </c>
      <c r="W76" s="612">
        <f t="shared" si="41"/>
        <v>2308306</v>
      </c>
      <c r="X76" s="612">
        <f t="shared" si="42"/>
        <v>0</v>
      </c>
      <c r="Y76" s="677">
        <f t="shared" si="55"/>
        <v>0</v>
      </c>
      <c r="Z76" s="678">
        <f t="shared" si="56"/>
        <v>0</v>
      </c>
      <c r="AA76" s="612">
        <f t="shared" si="43"/>
        <v>2308306</v>
      </c>
      <c r="AB76" s="612">
        <f t="shared" si="44"/>
        <v>0</v>
      </c>
      <c r="AC76" s="612">
        <f t="shared" si="45"/>
        <v>764428</v>
      </c>
      <c r="AD76" s="612">
        <f t="shared" si="46"/>
        <v>764428</v>
      </c>
      <c r="AE76" s="612">
        <f t="shared" si="47"/>
        <v>1543878</v>
      </c>
      <c r="AF76" s="612"/>
      <c r="AG76" s="612"/>
      <c r="AH76" s="612"/>
      <c r="AI76" s="612"/>
      <c r="AJ76" s="679">
        <v>0</v>
      </c>
      <c r="AK76" s="617">
        <v>36</v>
      </c>
      <c r="AL76" s="658" t="s">
        <v>1304</v>
      </c>
      <c r="AM76" s="469">
        <v>0</v>
      </c>
      <c r="AN76" s="469">
        <v>0</v>
      </c>
      <c r="AO76" s="469" t="s">
        <v>53</v>
      </c>
      <c r="AP76" s="469" t="s">
        <v>53</v>
      </c>
      <c r="AQ76" s="469" t="s">
        <v>53</v>
      </c>
      <c r="AR76" s="469" t="s">
        <v>54</v>
      </c>
      <c r="AS76" s="654" t="s">
        <v>70</v>
      </c>
      <c r="AT76" s="469"/>
      <c r="AU76" s="469"/>
      <c r="AV76" s="469"/>
      <c r="AW76" s="469"/>
      <c r="AX76" s="469"/>
      <c r="AY76" s="469"/>
      <c r="AZ76" s="469"/>
      <c r="BA76" s="469"/>
      <c r="BB76" s="469"/>
      <c r="BC76" s="469"/>
      <c r="BD76" s="469"/>
      <c r="BE76" s="469"/>
      <c r="BF76" s="547"/>
      <c r="BG76" s="469"/>
      <c r="BH76" s="469"/>
      <c r="BI76" s="469"/>
      <c r="BJ76" s="469"/>
      <c r="BK76" s="469"/>
      <c r="BL76" s="469"/>
      <c r="BM76" s="469"/>
      <c r="BN76" s="469"/>
      <c r="BO76" s="469"/>
      <c r="BP76" s="469"/>
      <c r="BQ76" s="469"/>
      <c r="BR76" s="469"/>
      <c r="BS76" s="634"/>
      <c r="BT76" s="547"/>
      <c r="BU76" s="547"/>
      <c r="BV76" s="547"/>
      <c r="BW76" s="547"/>
      <c r="BX76" s="547"/>
      <c r="BY76" s="547"/>
      <c r="BZ76" s="547"/>
      <c r="CA76" s="547"/>
      <c r="CB76" s="547"/>
      <c r="CC76" s="547"/>
      <c r="CD76" s="547"/>
      <c r="CE76" s="547"/>
      <c r="CF76" s="634"/>
      <c r="CG76" s="547"/>
      <c r="CH76" s="547"/>
      <c r="CI76" s="547"/>
      <c r="CJ76" s="547"/>
      <c r="CK76" s="547"/>
      <c r="CL76" s="547"/>
      <c r="CM76" s="547"/>
      <c r="CN76" s="547"/>
      <c r="CO76" s="547"/>
      <c r="CP76" s="547"/>
      <c r="CQ76" s="547"/>
      <c r="CR76" s="547"/>
      <c r="CS76" s="547"/>
      <c r="CT76" s="547"/>
      <c r="CU76" s="547"/>
      <c r="CV76" s="547"/>
      <c r="CW76" s="547"/>
      <c r="CX76" s="547"/>
      <c r="CY76" s="547"/>
      <c r="CZ76" s="547">
        <v>160515</v>
      </c>
      <c r="DA76" s="547"/>
      <c r="DB76" s="547"/>
      <c r="DC76" s="547">
        <v>290733</v>
      </c>
      <c r="DD76" s="547">
        <v>313180</v>
      </c>
      <c r="DE76" s="547"/>
      <c r="DF76" s="547">
        <f>SUM(CT76:DE76)</f>
        <v>764428</v>
      </c>
      <c r="DG76" s="547">
        <v>226383</v>
      </c>
      <c r="DH76" s="547"/>
      <c r="DI76" s="547"/>
      <c r="DJ76" s="547">
        <v>198172.63</v>
      </c>
      <c r="DK76" s="547"/>
      <c r="DL76" s="547">
        <v>275001.25</v>
      </c>
      <c r="DM76" s="547"/>
      <c r="DN76" s="547"/>
      <c r="DO76" s="469">
        <v>155819</v>
      </c>
      <c r="DP76" s="469">
        <v>113230.34</v>
      </c>
      <c r="DQ76" s="469">
        <v>143519.82999999999</v>
      </c>
      <c r="DR76" s="469"/>
      <c r="DS76" s="1">
        <f t="shared" si="53"/>
        <v>1112126.05</v>
      </c>
    </row>
    <row r="77" spans="1:123" s="624" customFormat="1" ht="24" x14ac:dyDescent="0.2">
      <c r="A77" s="760"/>
      <c r="B77" s="764"/>
      <c r="C77" s="760"/>
      <c r="D77" s="469" t="s">
        <v>2001</v>
      </c>
      <c r="E77" s="469" t="s">
        <v>1479</v>
      </c>
      <c r="F77" s="760"/>
      <c r="G77" s="760"/>
      <c r="H77" s="769"/>
      <c r="I77" s="774"/>
      <c r="J77" s="774"/>
      <c r="K77" s="670">
        <f>K76*14/100</f>
        <v>323162.84000000003</v>
      </c>
      <c r="L77" s="618"/>
      <c r="M77" s="612">
        <f t="shared" si="32"/>
        <v>0</v>
      </c>
      <c r="N77" s="612">
        <f t="shared" si="33"/>
        <v>0</v>
      </c>
      <c r="O77" s="612">
        <f t="shared" si="34"/>
        <v>323162.84000000003</v>
      </c>
      <c r="P77" s="612">
        <f t="shared" si="35"/>
        <v>0</v>
      </c>
      <c r="Q77" s="612">
        <f t="shared" si="36"/>
        <v>0</v>
      </c>
      <c r="R77" s="612">
        <f t="shared" si="37"/>
        <v>0</v>
      </c>
      <c r="S77" s="612">
        <f t="shared" si="38"/>
        <v>323162.84000000003</v>
      </c>
      <c r="T77" s="612">
        <f t="shared" si="39"/>
        <v>0</v>
      </c>
      <c r="U77" s="612">
        <f t="shared" si="40"/>
        <v>0</v>
      </c>
      <c r="V77" s="676">
        <f t="shared" si="54"/>
        <v>0</v>
      </c>
      <c r="W77" s="612">
        <f t="shared" si="41"/>
        <v>323162.84000000003</v>
      </c>
      <c r="X77" s="612">
        <f t="shared" si="42"/>
        <v>0</v>
      </c>
      <c r="Y77" s="677">
        <f t="shared" si="55"/>
        <v>0</v>
      </c>
      <c r="Z77" s="678">
        <f t="shared" si="56"/>
        <v>0</v>
      </c>
      <c r="AA77" s="612">
        <f t="shared" si="43"/>
        <v>323162.84000000003</v>
      </c>
      <c r="AB77" s="612">
        <f t="shared" si="44"/>
        <v>0</v>
      </c>
      <c r="AC77" s="612">
        <f t="shared" si="45"/>
        <v>388449.81</v>
      </c>
      <c r="AD77" s="612">
        <f t="shared" si="46"/>
        <v>388449.81</v>
      </c>
      <c r="AE77" s="612">
        <f t="shared" si="47"/>
        <v>-65286.969999999972</v>
      </c>
      <c r="AF77" s="612"/>
      <c r="AG77" s="612"/>
      <c r="AH77" s="612"/>
      <c r="AI77" s="612"/>
      <c r="AJ77" s="679">
        <v>0</v>
      </c>
      <c r="AK77" s="617">
        <v>36</v>
      </c>
      <c r="AL77" s="658" t="s">
        <v>1304</v>
      </c>
      <c r="AM77" s="469">
        <v>0</v>
      </c>
      <c r="AN77" s="469">
        <v>0</v>
      </c>
      <c r="AO77" s="469" t="s">
        <v>53</v>
      </c>
      <c r="AP77" s="469" t="s">
        <v>53</v>
      </c>
      <c r="AQ77" s="469" t="s">
        <v>53</v>
      </c>
      <c r="AR77" s="469" t="s">
        <v>54</v>
      </c>
      <c r="AS77" s="654" t="s">
        <v>70</v>
      </c>
      <c r="AT77" s="469"/>
      <c r="AU77" s="469"/>
      <c r="AV77" s="469"/>
      <c r="AW77" s="469"/>
      <c r="AX77" s="469"/>
      <c r="AY77" s="469"/>
      <c r="AZ77" s="469"/>
      <c r="BA77" s="469"/>
      <c r="BB77" s="469"/>
      <c r="BC77" s="469"/>
      <c r="BD77" s="469"/>
      <c r="BE77" s="469"/>
      <c r="BF77" s="547"/>
      <c r="BG77" s="469"/>
      <c r="BH77" s="469"/>
      <c r="BI77" s="469"/>
      <c r="BJ77" s="469"/>
      <c r="BK77" s="469"/>
      <c r="BL77" s="469"/>
      <c r="BM77" s="469"/>
      <c r="BN77" s="469"/>
      <c r="BO77" s="469"/>
      <c r="BP77" s="469"/>
      <c r="BQ77" s="469"/>
      <c r="BR77" s="469"/>
      <c r="BS77" s="634"/>
      <c r="BT77" s="547"/>
      <c r="BU77" s="547"/>
      <c r="BV77" s="547"/>
      <c r="BW77" s="547"/>
      <c r="BX77" s="547"/>
      <c r="BY77" s="547"/>
      <c r="BZ77" s="547"/>
      <c r="CA77" s="547"/>
      <c r="CB77" s="547"/>
      <c r="CC77" s="547"/>
      <c r="CD77" s="547"/>
      <c r="CE77" s="547"/>
      <c r="CF77" s="634"/>
      <c r="CG77" s="547"/>
      <c r="CH77" s="547"/>
      <c r="CI77" s="547"/>
      <c r="CJ77" s="547"/>
      <c r="CK77" s="547"/>
      <c r="CL77" s="547"/>
      <c r="CM77" s="547"/>
      <c r="CN77" s="547"/>
      <c r="CO77" s="547"/>
      <c r="CP77" s="547"/>
      <c r="CQ77" s="547"/>
      <c r="CR77" s="547"/>
      <c r="CS77" s="547"/>
      <c r="CT77" s="547">
        <v>294531.7</v>
      </c>
      <c r="CU77" s="547"/>
      <c r="CV77" s="547"/>
      <c r="CW77" s="547"/>
      <c r="CX77" s="547"/>
      <c r="CY77" s="547"/>
      <c r="CZ77" s="547"/>
      <c r="DA77" s="547"/>
      <c r="DB77" s="547">
        <v>93918.11</v>
      </c>
      <c r="DC77" s="547"/>
      <c r="DD77" s="547"/>
      <c r="DE77" s="547"/>
      <c r="DF77" s="547">
        <f t="shared" si="49"/>
        <v>388449.81</v>
      </c>
      <c r="DG77" s="547"/>
      <c r="DH77" s="547"/>
      <c r="DI77" s="547"/>
      <c r="DJ77" s="547"/>
      <c r="DK77" s="547"/>
      <c r="DL77" s="547"/>
      <c r="DM77" s="547"/>
      <c r="DN77" s="547"/>
      <c r="DO77" s="469"/>
      <c r="DP77" s="469"/>
      <c r="DQ77" s="469"/>
      <c r="DR77" s="469"/>
      <c r="DS77" s="1">
        <f t="shared" si="53"/>
        <v>0</v>
      </c>
    </row>
    <row r="78" spans="1:123" s="624" customFormat="1" ht="24" x14ac:dyDescent="0.2">
      <c r="A78" s="760" t="s">
        <v>1494</v>
      </c>
      <c r="B78" s="764" t="s">
        <v>107</v>
      </c>
      <c r="C78" s="760" t="s">
        <v>1508</v>
      </c>
      <c r="D78" s="469" t="s">
        <v>2013</v>
      </c>
      <c r="E78" s="469" t="s">
        <v>1891</v>
      </c>
      <c r="F78" s="760" t="s">
        <v>49</v>
      </c>
      <c r="G78" s="760" t="s">
        <v>284</v>
      </c>
      <c r="H78" s="769" t="s">
        <v>61</v>
      </c>
      <c r="I78" s="774">
        <v>45308</v>
      </c>
      <c r="J78" s="774">
        <v>46404</v>
      </c>
      <c r="K78" s="670">
        <v>4352924.46</v>
      </c>
      <c r="L78" s="618"/>
      <c r="M78" s="612">
        <f t="shared" si="32"/>
        <v>0</v>
      </c>
      <c r="N78" s="612">
        <f t="shared" si="33"/>
        <v>0</v>
      </c>
      <c r="O78" s="612">
        <f t="shared" si="34"/>
        <v>4352924.46</v>
      </c>
      <c r="P78" s="612">
        <f t="shared" si="35"/>
        <v>0</v>
      </c>
      <c r="Q78" s="612">
        <f t="shared" si="36"/>
        <v>0</v>
      </c>
      <c r="R78" s="612">
        <f t="shared" si="37"/>
        <v>0</v>
      </c>
      <c r="S78" s="612">
        <f t="shared" si="38"/>
        <v>4352924.46</v>
      </c>
      <c r="T78" s="612">
        <f t="shared" si="39"/>
        <v>0</v>
      </c>
      <c r="U78" s="612">
        <f t="shared" si="40"/>
        <v>0</v>
      </c>
      <c r="V78" s="676">
        <f t="shared" si="54"/>
        <v>0</v>
      </c>
      <c r="W78" s="612">
        <f t="shared" si="41"/>
        <v>4352924.46</v>
      </c>
      <c r="X78" s="612">
        <f t="shared" si="42"/>
        <v>0</v>
      </c>
      <c r="Y78" s="677">
        <f t="shared" si="55"/>
        <v>0</v>
      </c>
      <c r="Z78" s="678">
        <f t="shared" si="56"/>
        <v>0</v>
      </c>
      <c r="AA78" s="612">
        <f t="shared" si="43"/>
        <v>4352924.46</v>
      </c>
      <c r="AB78" s="612">
        <f t="shared" si="44"/>
        <v>0</v>
      </c>
      <c r="AC78" s="612">
        <f t="shared" si="45"/>
        <v>1693988.27</v>
      </c>
      <c r="AD78" s="612">
        <f t="shared" si="46"/>
        <v>1693988.27</v>
      </c>
      <c r="AE78" s="612">
        <f t="shared" si="47"/>
        <v>2658936.19</v>
      </c>
      <c r="AF78" s="612"/>
      <c r="AG78" s="612"/>
      <c r="AH78" s="612"/>
      <c r="AI78" s="612"/>
      <c r="AJ78" s="679">
        <v>0</v>
      </c>
      <c r="AK78" s="617">
        <v>36</v>
      </c>
      <c r="AL78" s="658" t="s">
        <v>1304</v>
      </c>
      <c r="AM78" s="469">
        <v>0</v>
      </c>
      <c r="AN78" s="469">
        <v>0</v>
      </c>
      <c r="AO78" s="469" t="s">
        <v>53</v>
      </c>
      <c r="AP78" s="469" t="s">
        <v>53</v>
      </c>
      <c r="AQ78" s="469" t="s">
        <v>53</v>
      </c>
      <c r="AR78" s="469" t="s">
        <v>54</v>
      </c>
      <c r="AS78" s="654" t="s">
        <v>70</v>
      </c>
      <c r="AT78" s="469"/>
      <c r="AU78" s="469"/>
      <c r="AV78" s="469"/>
      <c r="AW78" s="469"/>
      <c r="AX78" s="469"/>
      <c r="AY78" s="469"/>
      <c r="AZ78" s="469"/>
      <c r="BA78" s="469"/>
      <c r="BB78" s="469"/>
      <c r="BC78" s="469"/>
      <c r="BD78" s="469"/>
      <c r="BE78" s="469"/>
      <c r="BF78" s="547"/>
      <c r="BG78" s="469"/>
      <c r="BH78" s="469"/>
      <c r="BI78" s="469"/>
      <c r="BJ78" s="469"/>
      <c r="BK78" s="469"/>
      <c r="BL78" s="469"/>
      <c r="BM78" s="469"/>
      <c r="BN78" s="469"/>
      <c r="BO78" s="469"/>
      <c r="BP78" s="469"/>
      <c r="BQ78" s="469"/>
      <c r="BR78" s="469"/>
      <c r="BS78" s="634"/>
      <c r="BT78" s="547"/>
      <c r="BU78" s="547"/>
      <c r="BV78" s="547"/>
      <c r="BW78" s="547"/>
      <c r="BX78" s="547"/>
      <c r="BY78" s="547"/>
      <c r="BZ78" s="547"/>
      <c r="CA78" s="547"/>
      <c r="CB78" s="547"/>
      <c r="CC78" s="547"/>
      <c r="CD78" s="547"/>
      <c r="CE78" s="547"/>
      <c r="CF78" s="634"/>
      <c r="CG78" s="547"/>
      <c r="CH78" s="547"/>
      <c r="CI78" s="547"/>
      <c r="CJ78" s="547"/>
      <c r="CK78" s="547"/>
      <c r="CL78" s="547"/>
      <c r="CM78" s="547"/>
      <c r="CN78" s="547"/>
      <c r="CO78" s="547"/>
      <c r="CP78" s="547"/>
      <c r="CQ78" s="547"/>
      <c r="CR78" s="547"/>
      <c r="CS78" s="547"/>
      <c r="CT78" s="547"/>
      <c r="CU78" s="547"/>
      <c r="CV78" s="547"/>
      <c r="CW78" s="547"/>
      <c r="CX78" s="547"/>
      <c r="CY78" s="547"/>
      <c r="CZ78" s="547"/>
      <c r="DA78" s="547">
        <v>631705.12</v>
      </c>
      <c r="DB78" s="547"/>
      <c r="DC78" s="547">
        <v>463211.72</v>
      </c>
      <c r="DD78" s="547"/>
      <c r="DE78" s="547">
        <v>599071.43000000005</v>
      </c>
      <c r="DF78" s="547">
        <f t="shared" si="49"/>
        <v>1693988.27</v>
      </c>
      <c r="DG78" s="547"/>
      <c r="DH78" s="547">
        <v>973070.2</v>
      </c>
      <c r="DI78" s="547"/>
      <c r="DJ78" s="547"/>
      <c r="DK78" s="547">
        <v>711553.75</v>
      </c>
      <c r="DL78" s="547"/>
      <c r="DM78" s="547"/>
      <c r="DN78" s="547">
        <f>651080.03+110142.4</f>
        <v>761222.43</v>
      </c>
      <c r="DO78" s="469"/>
      <c r="DP78" s="469"/>
      <c r="DQ78" s="469"/>
      <c r="DR78" s="469"/>
      <c r="DS78" s="1">
        <f t="shared" si="53"/>
        <v>2445846.38</v>
      </c>
    </row>
    <row r="79" spans="1:123" s="624" customFormat="1" ht="24" x14ac:dyDescent="0.2">
      <c r="A79" s="760"/>
      <c r="B79" s="764"/>
      <c r="C79" s="760"/>
      <c r="D79" s="469" t="s">
        <v>2003</v>
      </c>
      <c r="E79" s="469" t="s">
        <v>1480</v>
      </c>
      <c r="F79" s="760"/>
      <c r="G79" s="760"/>
      <c r="H79" s="769"/>
      <c r="I79" s="774"/>
      <c r="J79" s="774"/>
      <c r="K79" s="670">
        <f>K78*14/100</f>
        <v>609409.42440000002</v>
      </c>
      <c r="L79" s="618"/>
      <c r="M79" s="612">
        <f t="shared" si="32"/>
        <v>0</v>
      </c>
      <c r="N79" s="612">
        <f t="shared" si="33"/>
        <v>0</v>
      </c>
      <c r="O79" s="612">
        <f t="shared" si="34"/>
        <v>609409.42440000002</v>
      </c>
      <c r="P79" s="612">
        <f t="shared" si="35"/>
        <v>0</v>
      </c>
      <c r="Q79" s="612">
        <f t="shared" si="36"/>
        <v>0</v>
      </c>
      <c r="R79" s="612">
        <f t="shared" si="37"/>
        <v>0</v>
      </c>
      <c r="S79" s="612">
        <f t="shared" si="38"/>
        <v>609409.42440000002</v>
      </c>
      <c r="T79" s="612">
        <f t="shared" si="39"/>
        <v>0</v>
      </c>
      <c r="U79" s="612">
        <f t="shared" si="40"/>
        <v>0</v>
      </c>
      <c r="V79" s="676">
        <f t="shared" si="54"/>
        <v>0</v>
      </c>
      <c r="W79" s="612">
        <f t="shared" si="41"/>
        <v>609409.42440000002</v>
      </c>
      <c r="X79" s="612">
        <f t="shared" si="42"/>
        <v>0</v>
      </c>
      <c r="Y79" s="677">
        <f t="shared" si="55"/>
        <v>0</v>
      </c>
      <c r="Z79" s="678">
        <f t="shared" si="56"/>
        <v>0</v>
      </c>
      <c r="AA79" s="612">
        <f t="shared" si="43"/>
        <v>609409.42440000002</v>
      </c>
      <c r="AB79" s="612">
        <f t="shared" si="44"/>
        <v>0</v>
      </c>
      <c r="AC79" s="612">
        <f t="shared" si="45"/>
        <v>556078.15</v>
      </c>
      <c r="AD79" s="612">
        <f t="shared" si="46"/>
        <v>556078.15</v>
      </c>
      <c r="AE79" s="612">
        <f t="shared" si="47"/>
        <v>53331.274399999995</v>
      </c>
      <c r="AF79" s="612"/>
      <c r="AG79" s="612"/>
      <c r="AH79" s="612"/>
      <c r="AI79" s="612"/>
      <c r="AJ79" s="679">
        <v>0</v>
      </c>
      <c r="AK79" s="617">
        <v>36</v>
      </c>
      <c r="AL79" s="658" t="s">
        <v>1304</v>
      </c>
      <c r="AM79" s="469">
        <v>0</v>
      </c>
      <c r="AN79" s="469">
        <v>0</v>
      </c>
      <c r="AO79" s="469" t="s">
        <v>53</v>
      </c>
      <c r="AP79" s="469" t="s">
        <v>53</v>
      </c>
      <c r="AQ79" s="469" t="s">
        <v>53</v>
      </c>
      <c r="AR79" s="469" t="s">
        <v>54</v>
      </c>
      <c r="AS79" s="654" t="s">
        <v>70</v>
      </c>
      <c r="AT79" s="469"/>
      <c r="AU79" s="469"/>
      <c r="AV79" s="469"/>
      <c r="AW79" s="469"/>
      <c r="AX79" s="469"/>
      <c r="AY79" s="469"/>
      <c r="AZ79" s="469"/>
      <c r="BA79" s="469"/>
      <c r="BB79" s="469"/>
      <c r="BC79" s="469"/>
      <c r="BD79" s="469"/>
      <c r="BE79" s="469"/>
      <c r="BF79" s="547"/>
      <c r="BG79" s="469"/>
      <c r="BH79" s="469"/>
      <c r="BI79" s="469"/>
      <c r="BJ79" s="469"/>
      <c r="BK79" s="469"/>
      <c r="BL79" s="469"/>
      <c r="BM79" s="469"/>
      <c r="BN79" s="469"/>
      <c r="BO79" s="469"/>
      <c r="BP79" s="469"/>
      <c r="BQ79" s="469"/>
      <c r="BR79" s="469"/>
      <c r="BS79" s="634"/>
      <c r="BT79" s="547"/>
      <c r="BU79" s="547"/>
      <c r="BV79" s="547"/>
      <c r="BW79" s="547"/>
      <c r="BX79" s="547"/>
      <c r="BY79" s="547"/>
      <c r="BZ79" s="547"/>
      <c r="CA79" s="547"/>
      <c r="CB79" s="547"/>
      <c r="CC79" s="547"/>
      <c r="CD79" s="547"/>
      <c r="CE79" s="547"/>
      <c r="CF79" s="634"/>
      <c r="CG79" s="547"/>
      <c r="CH79" s="547"/>
      <c r="CI79" s="547"/>
      <c r="CJ79" s="547"/>
      <c r="CK79" s="547"/>
      <c r="CL79" s="547"/>
      <c r="CM79" s="547"/>
      <c r="CN79" s="547"/>
      <c r="CO79" s="547"/>
      <c r="CP79" s="547"/>
      <c r="CQ79" s="547"/>
      <c r="CR79" s="547"/>
      <c r="CS79" s="547"/>
      <c r="CT79" s="547">
        <v>430790.64</v>
      </c>
      <c r="CU79" s="547"/>
      <c r="CV79" s="547"/>
      <c r="CW79" s="547"/>
      <c r="CX79" s="547"/>
      <c r="CY79" s="547"/>
      <c r="CZ79" s="547"/>
      <c r="DA79" s="547"/>
      <c r="DB79" s="547"/>
      <c r="DC79" s="547">
        <v>125287.51</v>
      </c>
      <c r="DD79" s="547"/>
      <c r="DE79" s="547"/>
      <c r="DF79" s="547">
        <f t="shared" si="49"/>
        <v>556078.15</v>
      </c>
      <c r="DG79" s="547"/>
      <c r="DH79" s="547"/>
      <c r="DI79" s="547"/>
      <c r="DJ79" s="547"/>
      <c r="DK79" s="547"/>
      <c r="DL79" s="547"/>
      <c r="DM79" s="547"/>
      <c r="DN79" s="547"/>
      <c r="DO79" s="469"/>
      <c r="DP79" s="469"/>
      <c r="DQ79" s="469"/>
      <c r="DR79" s="469"/>
      <c r="DS79" s="1">
        <f t="shared" si="53"/>
        <v>0</v>
      </c>
    </row>
    <row r="80" spans="1:123" s="624" customFormat="1" ht="24" x14ac:dyDescent="0.2">
      <c r="A80" s="760" t="s">
        <v>1494</v>
      </c>
      <c r="B80" s="764" t="s">
        <v>107</v>
      </c>
      <c r="C80" s="760" t="s">
        <v>1509</v>
      </c>
      <c r="D80" s="469" t="s">
        <v>2012</v>
      </c>
      <c r="E80" s="469" t="s">
        <v>1892</v>
      </c>
      <c r="F80" s="760" t="s">
        <v>49</v>
      </c>
      <c r="G80" s="760" t="s">
        <v>284</v>
      </c>
      <c r="H80" s="769" t="s">
        <v>61</v>
      </c>
      <c r="I80" s="774">
        <v>45278</v>
      </c>
      <c r="J80" s="774">
        <v>46374</v>
      </c>
      <c r="K80" s="670">
        <v>4912293.54</v>
      </c>
      <c r="L80" s="618"/>
      <c r="M80" s="612">
        <f t="shared" si="32"/>
        <v>0</v>
      </c>
      <c r="N80" s="612">
        <f t="shared" si="33"/>
        <v>0</v>
      </c>
      <c r="O80" s="612">
        <f t="shared" si="34"/>
        <v>4912293.54</v>
      </c>
      <c r="P80" s="612">
        <f t="shared" si="35"/>
        <v>0</v>
      </c>
      <c r="Q80" s="612">
        <f t="shared" si="36"/>
        <v>0</v>
      </c>
      <c r="R80" s="612">
        <f t="shared" si="37"/>
        <v>0</v>
      </c>
      <c r="S80" s="612">
        <f t="shared" si="38"/>
        <v>4912293.54</v>
      </c>
      <c r="T80" s="612">
        <f t="shared" si="39"/>
        <v>0</v>
      </c>
      <c r="U80" s="612">
        <f t="shared" si="40"/>
        <v>0</v>
      </c>
      <c r="V80" s="676">
        <f t="shared" si="54"/>
        <v>0</v>
      </c>
      <c r="W80" s="612">
        <f t="shared" si="41"/>
        <v>4912293.54</v>
      </c>
      <c r="X80" s="612">
        <f t="shared" si="42"/>
        <v>0</v>
      </c>
      <c r="Y80" s="677">
        <f t="shared" si="55"/>
        <v>0</v>
      </c>
      <c r="Z80" s="678">
        <f t="shared" si="56"/>
        <v>0</v>
      </c>
      <c r="AA80" s="612">
        <f t="shared" si="43"/>
        <v>4912293.54</v>
      </c>
      <c r="AB80" s="612">
        <f t="shared" si="44"/>
        <v>0</v>
      </c>
      <c r="AC80" s="612">
        <f t="shared" si="45"/>
        <v>2621460.88</v>
      </c>
      <c r="AD80" s="612">
        <f t="shared" si="46"/>
        <v>2621460.88</v>
      </c>
      <c r="AE80" s="612">
        <f t="shared" si="47"/>
        <v>2290832.66</v>
      </c>
      <c r="AF80" s="612"/>
      <c r="AG80" s="612"/>
      <c r="AH80" s="612"/>
      <c r="AI80" s="612"/>
      <c r="AJ80" s="679">
        <v>0</v>
      </c>
      <c r="AK80" s="617">
        <v>36</v>
      </c>
      <c r="AL80" s="658" t="s">
        <v>1304</v>
      </c>
      <c r="AM80" s="469">
        <v>0</v>
      </c>
      <c r="AN80" s="469">
        <v>0</v>
      </c>
      <c r="AO80" s="469" t="s">
        <v>53</v>
      </c>
      <c r="AP80" s="469" t="s">
        <v>53</v>
      </c>
      <c r="AQ80" s="469" t="s">
        <v>53</v>
      </c>
      <c r="AR80" s="469" t="s">
        <v>54</v>
      </c>
      <c r="AS80" s="654" t="s">
        <v>70</v>
      </c>
      <c r="AT80" s="469"/>
      <c r="AU80" s="469"/>
      <c r="AV80" s="469"/>
      <c r="AW80" s="469"/>
      <c r="AX80" s="469"/>
      <c r="AY80" s="469"/>
      <c r="AZ80" s="469"/>
      <c r="BA80" s="469"/>
      <c r="BB80" s="469"/>
      <c r="BC80" s="469"/>
      <c r="BD80" s="469"/>
      <c r="BE80" s="469"/>
      <c r="BF80" s="547"/>
      <c r="BG80" s="469"/>
      <c r="BH80" s="469"/>
      <c r="BI80" s="469"/>
      <c r="BJ80" s="469"/>
      <c r="BK80" s="469"/>
      <c r="BL80" s="469"/>
      <c r="BM80" s="469"/>
      <c r="BN80" s="469"/>
      <c r="BO80" s="469"/>
      <c r="BP80" s="469"/>
      <c r="BQ80" s="469"/>
      <c r="BR80" s="469"/>
      <c r="BS80" s="634"/>
      <c r="BT80" s="547"/>
      <c r="BU80" s="547"/>
      <c r="BV80" s="547"/>
      <c r="BW80" s="547"/>
      <c r="BX80" s="547"/>
      <c r="BY80" s="547"/>
      <c r="BZ80" s="547"/>
      <c r="CA80" s="547"/>
      <c r="CB80" s="547"/>
      <c r="CC80" s="547"/>
      <c r="CD80" s="547"/>
      <c r="CE80" s="547"/>
      <c r="CF80" s="634"/>
      <c r="CG80" s="547"/>
      <c r="CH80" s="547"/>
      <c r="CI80" s="547"/>
      <c r="CJ80" s="547"/>
      <c r="CK80" s="547"/>
      <c r="CL80" s="547"/>
      <c r="CM80" s="547"/>
      <c r="CN80" s="547"/>
      <c r="CO80" s="547"/>
      <c r="CP80" s="547"/>
      <c r="CQ80" s="547"/>
      <c r="CR80" s="547"/>
      <c r="CS80" s="547"/>
      <c r="CT80" s="547"/>
      <c r="CU80" s="547"/>
      <c r="CV80" s="547"/>
      <c r="CW80" s="547"/>
      <c r="CX80" s="547"/>
      <c r="CY80" s="547"/>
      <c r="CZ80" s="547"/>
      <c r="DA80" s="547">
        <v>943829.84</v>
      </c>
      <c r="DB80" s="547"/>
      <c r="DC80" s="547">
        <f>599469.24+589655.6</f>
        <v>1189124.8399999999</v>
      </c>
      <c r="DD80" s="547">
        <v>488506.2</v>
      </c>
      <c r="DE80" s="547"/>
      <c r="DF80" s="547">
        <f t="shared" si="49"/>
        <v>2621460.88</v>
      </c>
      <c r="DG80" s="547">
        <v>401407.04</v>
      </c>
      <c r="DH80" s="547">
        <v>234883.54</v>
      </c>
      <c r="DI80" s="547"/>
      <c r="DJ80" s="547"/>
      <c r="DK80" s="547">
        <v>503563.84</v>
      </c>
      <c r="DL80" s="547"/>
      <c r="DM80" s="547"/>
      <c r="DN80" s="547"/>
      <c r="DO80" s="469"/>
      <c r="DP80" s="469"/>
      <c r="DQ80" s="469"/>
      <c r="DR80" s="469"/>
      <c r="DS80" s="1">
        <f t="shared" si="53"/>
        <v>1139854.42</v>
      </c>
    </row>
    <row r="81" spans="1:123" s="624" customFormat="1" ht="24" x14ac:dyDescent="0.2">
      <c r="A81" s="760"/>
      <c r="B81" s="764"/>
      <c r="C81" s="760"/>
      <c r="D81" s="469" t="s">
        <v>2007</v>
      </c>
      <c r="E81" s="469" t="s">
        <v>1472</v>
      </c>
      <c r="F81" s="760"/>
      <c r="G81" s="760"/>
      <c r="H81" s="769"/>
      <c r="I81" s="774"/>
      <c r="J81" s="774"/>
      <c r="K81" s="670">
        <f>K80*14/100</f>
        <v>687721.0956</v>
      </c>
      <c r="L81" s="618"/>
      <c r="M81" s="612">
        <f t="shared" si="32"/>
        <v>0</v>
      </c>
      <c r="N81" s="612">
        <f t="shared" si="33"/>
        <v>0</v>
      </c>
      <c r="O81" s="612">
        <f t="shared" si="34"/>
        <v>687721.0956</v>
      </c>
      <c r="P81" s="612">
        <f t="shared" si="35"/>
        <v>0</v>
      </c>
      <c r="Q81" s="612">
        <f t="shared" si="36"/>
        <v>0</v>
      </c>
      <c r="R81" s="612">
        <f t="shared" si="37"/>
        <v>0</v>
      </c>
      <c r="S81" s="612">
        <f t="shared" si="38"/>
        <v>687721.0956</v>
      </c>
      <c r="T81" s="612">
        <f t="shared" si="39"/>
        <v>0</v>
      </c>
      <c r="U81" s="612">
        <f t="shared" si="40"/>
        <v>0</v>
      </c>
      <c r="V81" s="676">
        <f t="shared" si="54"/>
        <v>0</v>
      </c>
      <c r="W81" s="612">
        <f t="shared" si="41"/>
        <v>687721.0956</v>
      </c>
      <c r="X81" s="612">
        <f t="shared" si="42"/>
        <v>0</v>
      </c>
      <c r="Y81" s="677">
        <f t="shared" si="55"/>
        <v>0</v>
      </c>
      <c r="Z81" s="678">
        <f t="shared" si="56"/>
        <v>0</v>
      </c>
      <c r="AA81" s="612">
        <f t="shared" si="43"/>
        <v>687721.0956</v>
      </c>
      <c r="AB81" s="612">
        <f t="shared" si="44"/>
        <v>0</v>
      </c>
      <c r="AC81" s="612">
        <f t="shared" si="45"/>
        <v>242152.49</v>
      </c>
      <c r="AD81" s="612">
        <f t="shared" si="46"/>
        <v>242152.49</v>
      </c>
      <c r="AE81" s="612">
        <f t="shared" si="47"/>
        <v>445568.60560000001</v>
      </c>
      <c r="AF81" s="612"/>
      <c r="AG81" s="612"/>
      <c r="AH81" s="612"/>
      <c r="AI81" s="612"/>
      <c r="AJ81" s="679">
        <v>0</v>
      </c>
      <c r="AK81" s="617">
        <v>36</v>
      </c>
      <c r="AL81" s="658" t="s">
        <v>1304</v>
      </c>
      <c r="AM81" s="469">
        <v>0</v>
      </c>
      <c r="AN81" s="469">
        <v>0</v>
      </c>
      <c r="AO81" s="469" t="s">
        <v>53</v>
      </c>
      <c r="AP81" s="469" t="s">
        <v>53</v>
      </c>
      <c r="AQ81" s="469" t="s">
        <v>53</v>
      </c>
      <c r="AR81" s="469" t="s">
        <v>54</v>
      </c>
      <c r="AS81" s="654" t="s">
        <v>70</v>
      </c>
      <c r="AT81" s="469"/>
      <c r="AU81" s="469"/>
      <c r="AV81" s="469"/>
      <c r="AW81" s="469"/>
      <c r="AX81" s="469"/>
      <c r="AY81" s="469"/>
      <c r="AZ81" s="469"/>
      <c r="BA81" s="469"/>
      <c r="BB81" s="469"/>
      <c r="BC81" s="469"/>
      <c r="BD81" s="469"/>
      <c r="BE81" s="469"/>
      <c r="BF81" s="547"/>
      <c r="BG81" s="469"/>
      <c r="BH81" s="469"/>
      <c r="BI81" s="469"/>
      <c r="BJ81" s="469"/>
      <c r="BK81" s="469"/>
      <c r="BL81" s="469"/>
      <c r="BM81" s="469"/>
      <c r="BN81" s="469"/>
      <c r="BO81" s="469"/>
      <c r="BP81" s="469"/>
      <c r="BQ81" s="469"/>
      <c r="BR81" s="469"/>
      <c r="BS81" s="634"/>
      <c r="BT81" s="547"/>
      <c r="BU81" s="547"/>
      <c r="BV81" s="547"/>
      <c r="BW81" s="547"/>
      <c r="BX81" s="547"/>
      <c r="BY81" s="547"/>
      <c r="BZ81" s="547"/>
      <c r="CA81" s="547"/>
      <c r="CB81" s="547"/>
      <c r="CC81" s="547"/>
      <c r="CD81" s="547"/>
      <c r="CE81" s="547"/>
      <c r="CF81" s="634"/>
      <c r="CG81" s="547"/>
      <c r="CH81" s="547"/>
      <c r="CI81" s="547"/>
      <c r="CJ81" s="547"/>
      <c r="CK81" s="547"/>
      <c r="CL81" s="547"/>
      <c r="CM81" s="547"/>
      <c r="CN81" s="547"/>
      <c r="CO81" s="547"/>
      <c r="CP81" s="547"/>
      <c r="CQ81" s="547"/>
      <c r="CR81" s="547"/>
      <c r="CS81" s="547"/>
      <c r="CT81" s="547"/>
      <c r="CU81" s="547">
        <v>242152.49</v>
      </c>
      <c r="CV81" s="547"/>
      <c r="CW81" s="547"/>
      <c r="CX81" s="547"/>
      <c r="CY81" s="547"/>
      <c r="CZ81" s="547"/>
      <c r="DA81" s="547"/>
      <c r="DB81" s="547"/>
      <c r="DC81" s="547"/>
      <c r="DD81" s="547"/>
      <c r="DE81" s="547"/>
      <c r="DF81" s="547">
        <f t="shared" si="49"/>
        <v>242152.49</v>
      </c>
      <c r="DG81" s="547"/>
      <c r="DH81" s="547">
        <v>242152.49</v>
      </c>
      <c r="DI81" s="547"/>
      <c r="DJ81" s="547"/>
      <c r="DK81" s="547"/>
      <c r="DL81" s="547"/>
      <c r="DM81" s="547"/>
      <c r="DN81" s="547"/>
      <c r="DO81" s="469"/>
      <c r="DP81" s="469"/>
      <c r="DQ81" s="469"/>
      <c r="DR81" s="469"/>
      <c r="DS81" s="1">
        <f t="shared" si="53"/>
        <v>242152.49</v>
      </c>
    </row>
    <row r="82" spans="1:123" s="624" customFormat="1" ht="24" x14ac:dyDescent="0.2">
      <c r="A82" s="469" t="s">
        <v>1616</v>
      </c>
      <c r="B82" s="661" t="s">
        <v>107</v>
      </c>
      <c r="C82" s="672" t="s">
        <v>1615</v>
      </c>
      <c r="D82" s="469" t="s">
        <v>1414</v>
      </c>
      <c r="E82" s="469" t="s">
        <v>200</v>
      </c>
      <c r="F82" s="469" t="s">
        <v>49</v>
      </c>
      <c r="G82" s="469" t="s">
        <v>284</v>
      </c>
      <c r="H82" s="617" t="s">
        <v>61</v>
      </c>
      <c r="I82" s="625">
        <v>45252</v>
      </c>
      <c r="J82" s="469"/>
      <c r="K82" s="670">
        <v>10000000</v>
      </c>
      <c r="L82" s="618"/>
      <c r="M82" s="612">
        <f t="shared" si="32"/>
        <v>0</v>
      </c>
      <c r="N82" s="612">
        <f t="shared" si="33"/>
        <v>0</v>
      </c>
      <c r="O82" s="612">
        <f t="shared" si="34"/>
        <v>10000000</v>
      </c>
      <c r="P82" s="612">
        <f t="shared" si="35"/>
        <v>0</v>
      </c>
      <c r="Q82" s="612">
        <f t="shared" si="36"/>
        <v>0</v>
      </c>
      <c r="R82" s="612">
        <f t="shared" si="37"/>
        <v>0</v>
      </c>
      <c r="S82" s="612">
        <f t="shared" si="38"/>
        <v>10000000</v>
      </c>
      <c r="T82" s="612">
        <f t="shared" si="39"/>
        <v>0</v>
      </c>
      <c r="U82" s="612">
        <f t="shared" si="40"/>
        <v>0</v>
      </c>
      <c r="V82" s="469"/>
      <c r="W82" s="612">
        <f t="shared" si="41"/>
        <v>10000000</v>
      </c>
      <c r="X82" s="612">
        <f t="shared" si="42"/>
        <v>0</v>
      </c>
      <c r="Y82" s="469"/>
      <c r="Z82" s="469"/>
      <c r="AA82" s="612">
        <f t="shared" si="43"/>
        <v>10000000</v>
      </c>
      <c r="AB82" s="612">
        <f t="shared" si="44"/>
        <v>0</v>
      </c>
      <c r="AC82" s="612">
        <f t="shared" si="45"/>
        <v>7715684.25</v>
      </c>
      <c r="AD82" s="612">
        <f t="shared" si="46"/>
        <v>7715684.25</v>
      </c>
      <c r="AE82" s="612">
        <f t="shared" si="47"/>
        <v>2284315.75</v>
      </c>
      <c r="AF82" s="612"/>
      <c r="AG82" s="612"/>
      <c r="AH82" s="612"/>
      <c r="AI82" s="612"/>
      <c r="AJ82" s="469"/>
      <c r="AK82" s="658"/>
      <c r="AL82" s="658"/>
      <c r="AM82" s="469"/>
      <c r="AN82" s="469"/>
      <c r="AO82" s="469"/>
      <c r="AP82" s="469"/>
      <c r="AQ82" s="469"/>
      <c r="AR82" s="469"/>
      <c r="AS82" s="469"/>
      <c r="AT82" s="469"/>
      <c r="AU82" s="469"/>
      <c r="AV82" s="469"/>
      <c r="AW82" s="469"/>
      <c r="AX82" s="469"/>
      <c r="AY82" s="469"/>
      <c r="AZ82" s="469"/>
      <c r="BA82" s="469"/>
      <c r="BB82" s="469"/>
      <c r="BC82" s="469"/>
      <c r="BD82" s="469"/>
      <c r="BE82" s="469"/>
      <c r="BF82" s="547"/>
      <c r="BG82" s="469"/>
      <c r="BH82" s="469"/>
      <c r="BI82" s="469"/>
      <c r="BJ82" s="469"/>
      <c r="BK82" s="469"/>
      <c r="BL82" s="469"/>
      <c r="BM82" s="469"/>
      <c r="BN82" s="469"/>
      <c r="BO82" s="469"/>
      <c r="BP82" s="469"/>
      <c r="BQ82" s="469"/>
      <c r="BR82" s="469"/>
      <c r="BS82" s="634"/>
      <c r="BT82" s="547"/>
      <c r="BU82" s="547"/>
      <c r="BV82" s="547"/>
      <c r="BW82" s="547"/>
      <c r="BX82" s="547"/>
      <c r="BY82" s="547"/>
      <c r="BZ82" s="547"/>
      <c r="CA82" s="547"/>
      <c r="CB82" s="547"/>
      <c r="CC82" s="547"/>
      <c r="CD82" s="547"/>
      <c r="CE82" s="547"/>
      <c r="CF82" s="634"/>
      <c r="CG82" s="547"/>
      <c r="CH82" s="547"/>
      <c r="CI82" s="547"/>
      <c r="CJ82" s="547"/>
      <c r="CK82" s="547"/>
      <c r="CL82" s="547"/>
      <c r="CM82" s="547"/>
      <c r="CN82" s="547"/>
      <c r="CO82" s="547"/>
      <c r="CP82" s="547"/>
      <c r="CQ82" s="547"/>
      <c r="CR82" s="547"/>
      <c r="CS82" s="547"/>
      <c r="CT82" s="547"/>
      <c r="CU82" s="547"/>
      <c r="CV82" s="547"/>
      <c r="CW82" s="547"/>
      <c r="CX82" s="547">
        <v>0</v>
      </c>
      <c r="CY82" s="547"/>
      <c r="CZ82" s="469"/>
      <c r="DA82" s="547">
        <v>1518000</v>
      </c>
      <c r="DB82" s="547">
        <v>3623891.18</v>
      </c>
      <c r="DC82" s="547">
        <v>2152095.65</v>
      </c>
      <c r="DD82" s="547"/>
      <c r="DE82" s="547">
        <v>421697.42</v>
      </c>
      <c r="DF82" s="547">
        <f t="shared" si="49"/>
        <v>7715684.25</v>
      </c>
      <c r="DG82" s="547"/>
      <c r="DH82" s="547"/>
      <c r="DI82" s="547"/>
      <c r="DJ82" s="547">
        <v>421697.42</v>
      </c>
      <c r="DK82" s="547"/>
      <c r="DL82" s="547"/>
      <c r="DM82" s="547"/>
      <c r="DN82" s="547"/>
      <c r="DO82" s="469"/>
      <c r="DP82" s="469"/>
      <c r="DQ82" s="469"/>
      <c r="DR82" s="469"/>
      <c r="DS82" s="1">
        <f t="shared" si="53"/>
        <v>421697.42</v>
      </c>
    </row>
    <row r="83" spans="1:123" s="624" customFormat="1" x14ac:dyDescent="0.2">
      <c r="A83" s="673"/>
      <c r="B83" s="674" t="s">
        <v>107</v>
      </c>
      <c r="C83" s="675" t="s">
        <v>1998</v>
      </c>
      <c r="D83" s="469" t="s">
        <v>1414</v>
      </c>
      <c r="E83" s="469" t="s">
        <v>200</v>
      </c>
      <c r="F83" s="469" t="s">
        <v>49</v>
      </c>
      <c r="G83" s="469" t="s">
        <v>284</v>
      </c>
      <c r="H83" s="617" t="s">
        <v>61</v>
      </c>
      <c r="I83" s="625"/>
      <c r="J83" s="469"/>
      <c r="K83" s="670">
        <v>19474000</v>
      </c>
      <c r="L83" s="618"/>
      <c r="M83" s="612"/>
      <c r="N83" s="612"/>
      <c r="O83" s="612"/>
      <c r="P83" s="612"/>
      <c r="Q83" s="612"/>
      <c r="R83" s="612"/>
      <c r="S83" s="612"/>
      <c r="T83" s="612"/>
      <c r="U83" s="612"/>
      <c r="V83" s="469"/>
      <c r="W83" s="612"/>
      <c r="X83" s="612"/>
      <c r="Y83" s="469"/>
      <c r="Z83" s="469"/>
      <c r="AA83" s="612"/>
      <c r="AB83" s="612"/>
      <c r="AC83" s="612"/>
      <c r="AD83" s="612"/>
      <c r="AE83" s="612"/>
      <c r="AF83" s="612"/>
      <c r="AG83" s="612"/>
      <c r="AH83" s="612"/>
      <c r="AI83" s="612"/>
      <c r="AJ83" s="469"/>
      <c r="AK83" s="658"/>
      <c r="AL83" s="658"/>
      <c r="AM83" s="469"/>
      <c r="AN83" s="469"/>
      <c r="AO83" s="469"/>
      <c r="AP83" s="469"/>
      <c r="AQ83" s="469"/>
      <c r="AR83" s="469"/>
      <c r="AS83" s="469"/>
      <c r="AT83" s="469"/>
      <c r="AU83" s="469"/>
      <c r="AV83" s="469"/>
      <c r="AW83" s="469"/>
      <c r="AX83" s="469"/>
      <c r="AY83" s="469"/>
      <c r="AZ83" s="469"/>
      <c r="BA83" s="469"/>
      <c r="BB83" s="469"/>
      <c r="BC83" s="469"/>
      <c r="BD83" s="469"/>
      <c r="BE83" s="469"/>
      <c r="BF83" s="547"/>
      <c r="BG83" s="469"/>
      <c r="BH83" s="469"/>
      <c r="BI83" s="469"/>
      <c r="BJ83" s="469"/>
      <c r="BK83" s="469"/>
      <c r="BL83" s="469"/>
      <c r="BM83" s="469"/>
      <c r="BN83" s="469"/>
      <c r="BO83" s="469"/>
      <c r="BP83" s="469"/>
      <c r="BQ83" s="469"/>
      <c r="BR83" s="469"/>
      <c r="BS83" s="634"/>
      <c r="BT83" s="547"/>
      <c r="BU83" s="547"/>
      <c r="BV83" s="547"/>
      <c r="BW83" s="547"/>
      <c r="BX83" s="547"/>
      <c r="BY83" s="547"/>
      <c r="BZ83" s="547"/>
      <c r="CA83" s="547"/>
      <c r="CB83" s="547"/>
      <c r="CC83" s="547"/>
      <c r="CD83" s="547"/>
      <c r="CE83" s="547"/>
      <c r="CF83" s="634"/>
      <c r="CG83" s="547"/>
      <c r="CH83" s="547"/>
      <c r="CI83" s="547"/>
      <c r="CJ83" s="547"/>
      <c r="CK83" s="547"/>
      <c r="CL83" s="547"/>
      <c r="CM83" s="547"/>
      <c r="CN83" s="547"/>
      <c r="CO83" s="547"/>
      <c r="CP83" s="547"/>
      <c r="CQ83" s="547"/>
      <c r="CR83" s="547"/>
      <c r="CS83" s="547"/>
      <c r="CT83" s="547"/>
      <c r="CU83" s="547"/>
      <c r="CV83" s="547"/>
      <c r="CW83" s="547"/>
      <c r="CX83" s="547"/>
      <c r="CY83" s="547">
        <v>1336364.3999999999</v>
      </c>
      <c r="CZ83" s="469"/>
      <c r="DA83" s="547"/>
      <c r="DB83" s="547"/>
      <c r="DC83" s="547"/>
      <c r="DD83" s="547"/>
      <c r="DE83" s="547">
        <v>1663635.6</v>
      </c>
      <c r="DF83" s="547"/>
      <c r="DG83" s="547"/>
      <c r="DH83" s="547"/>
      <c r="DI83" s="547">
        <v>3542160.13</v>
      </c>
      <c r="DJ83" s="547"/>
      <c r="DK83" s="547">
        <v>3565000</v>
      </c>
      <c r="DL83" s="547">
        <v>1935000.01</v>
      </c>
      <c r="DM83" s="547"/>
      <c r="DN83" s="547"/>
      <c r="DO83" s="469"/>
      <c r="DP83" s="469">
        <v>4500000</v>
      </c>
      <c r="DQ83" s="469"/>
      <c r="DR83" s="469">
        <v>2931839.87</v>
      </c>
      <c r="DS83" s="1">
        <f t="shared" si="53"/>
        <v>16474000.010000002</v>
      </c>
    </row>
    <row r="84" spans="1:123" s="624" customFormat="1" x14ac:dyDescent="0.2">
      <c r="A84" s="753" t="s">
        <v>1494</v>
      </c>
      <c r="B84" s="753" t="s">
        <v>57</v>
      </c>
      <c r="C84" s="753" t="s">
        <v>1619</v>
      </c>
      <c r="D84" s="469" t="s">
        <v>2005</v>
      </c>
      <c r="E84" s="469" t="s">
        <v>1886</v>
      </c>
      <c r="F84" s="469"/>
      <c r="G84" s="469"/>
      <c r="H84" s="617"/>
      <c r="I84" s="469"/>
      <c r="J84" s="469"/>
      <c r="K84" s="670">
        <f>K85*14/100</f>
        <v>1481539.4006000001</v>
      </c>
      <c r="L84" s="618"/>
      <c r="M84" s="612">
        <f t="shared" si="32"/>
        <v>0</v>
      </c>
      <c r="N84" s="612">
        <f t="shared" si="33"/>
        <v>0</v>
      </c>
      <c r="O84" s="612">
        <f t="shared" si="34"/>
        <v>1481539.4006000001</v>
      </c>
      <c r="P84" s="612">
        <f t="shared" si="35"/>
        <v>0</v>
      </c>
      <c r="Q84" s="612">
        <f t="shared" si="36"/>
        <v>0</v>
      </c>
      <c r="R84" s="612">
        <f t="shared" si="37"/>
        <v>0</v>
      </c>
      <c r="S84" s="612">
        <f t="shared" si="38"/>
        <v>1481539.4006000001</v>
      </c>
      <c r="T84" s="612">
        <f t="shared" si="39"/>
        <v>0</v>
      </c>
      <c r="U84" s="612">
        <f t="shared" si="40"/>
        <v>0</v>
      </c>
      <c r="V84" s="469"/>
      <c r="W84" s="612">
        <f t="shared" si="41"/>
        <v>1481539.4006000001</v>
      </c>
      <c r="X84" s="612">
        <f t="shared" si="42"/>
        <v>0</v>
      </c>
      <c r="Y84" s="469"/>
      <c r="Z84" s="469"/>
      <c r="AA84" s="612">
        <f t="shared" si="43"/>
        <v>1481539.4006000001</v>
      </c>
      <c r="AB84" s="612">
        <f t="shared" si="44"/>
        <v>0</v>
      </c>
      <c r="AC84" s="612">
        <f t="shared" si="45"/>
        <v>1331719.93</v>
      </c>
      <c r="AD84" s="612">
        <f t="shared" si="46"/>
        <v>1331719.93</v>
      </c>
      <c r="AE84" s="612">
        <f t="shared" si="47"/>
        <v>149819.47060000012</v>
      </c>
      <c r="AF84" s="612"/>
      <c r="AG84" s="612"/>
      <c r="AH84" s="612"/>
      <c r="AI84" s="612"/>
      <c r="AJ84" s="469"/>
      <c r="AK84" s="658"/>
      <c r="AL84" s="658"/>
      <c r="AM84" s="469"/>
      <c r="AN84" s="469"/>
      <c r="AO84" s="469"/>
      <c r="AP84" s="469"/>
      <c r="AQ84" s="469"/>
      <c r="AR84" s="469"/>
      <c r="AS84" s="469"/>
      <c r="AT84" s="469"/>
      <c r="AU84" s="469"/>
      <c r="AV84" s="469"/>
      <c r="AW84" s="469"/>
      <c r="AX84" s="469"/>
      <c r="AY84" s="469"/>
      <c r="AZ84" s="469"/>
      <c r="BA84" s="469"/>
      <c r="BB84" s="469"/>
      <c r="BC84" s="469"/>
      <c r="BD84" s="469"/>
      <c r="BE84" s="469"/>
      <c r="BF84" s="547"/>
      <c r="BG84" s="469"/>
      <c r="BH84" s="469"/>
      <c r="BI84" s="469"/>
      <c r="BJ84" s="469"/>
      <c r="BK84" s="469"/>
      <c r="BL84" s="469"/>
      <c r="BM84" s="469"/>
      <c r="BN84" s="469"/>
      <c r="BO84" s="469"/>
      <c r="BP84" s="469"/>
      <c r="BQ84" s="469"/>
      <c r="BR84" s="469"/>
      <c r="BS84" s="634"/>
      <c r="BT84" s="547"/>
      <c r="BU84" s="547"/>
      <c r="BV84" s="547"/>
      <c r="BW84" s="547"/>
      <c r="BX84" s="547"/>
      <c r="BY84" s="547"/>
      <c r="BZ84" s="547"/>
      <c r="CA84" s="547"/>
      <c r="CB84" s="547"/>
      <c r="CC84" s="547"/>
      <c r="CD84" s="547"/>
      <c r="CE84" s="547"/>
      <c r="CF84" s="634"/>
      <c r="CG84" s="547"/>
      <c r="CH84" s="547"/>
      <c r="CI84" s="547"/>
      <c r="CJ84" s="547"/>
      <c r="CK84" s="547"/>
      <c r="CL84" s="547"/>
      <c r="CM84" s="547"/>
      <c r="CN84" s="547"/>
      <c r="CO84" s="547"/>
      <c r="CP84" s="547"/>
      <c r="CQ84" s="547"/>
      <c r="CR84" s="547"/>
      <c r="CS84" s="547"/>
      <c r="CT84" s="547"/>
      <c r="CU84" s="671">
        <v>836953.62</v>
      </c>
      <c r="CV84" s="547"/>
      <c r="CW84" s="547"/>
      <c r="CX84" s="547"/>
      <c r="CY84" s="547"/>
      <c r="CZ84" s="547"/>
      <c r="DA84" s="547"/>
      <c r="DB84" s="547"/>
      <c r="DC84" s="547">
        <v>494766.31</v>
      </c>
      <c r="DD84" s="547"/>
      <c r="DE84" s="547"/>
      <c r="DF84" s="547">
        <f>SUM(CT84:DE84)</f>
        <v>1331719.93</v>
      </c>
      <c r="DG84" s="547"/>
      <c r="DH84" s="547"/>
      <c r="DI84" s="547"/>
      <c r="DJ84" s="547"/>
      <c r="DK84" s="547"/>
      <c r="DL84" s="547"/>
      <c r="DM84" s="547"/>
      <c r="DN84" s="547"/>
      <c r="DO84" s="469"/>
      <c r="DP84" s="469"/>
      <c r="DQ84" s="469"/>
      <c r="DR84" s="469"/>
      <c r="DS84" s="1">
        <f t="shared" si="53"/>
        <v>0</v>
      </c>
    </row>
    <row r="85" spans="1:123" s="624" customFormat="1" x14ac:dyDescent="0.2">
      <c r="A85" s="755"/>
      <c r="B85" s="755"/>
      <c r="C85" s="755"/>
      <c r="D85" s="469" t="s">
        <v>2011</v>
      </c>
      <c r="E85" s="469" t="s">
        <v>1887</v>
      </c>
      <c r="F85" s="469"/>
      <c r="G85" s="469"/>
      <c r="H85" s="617"/>
      <c r="I85" s="469"/>
      <c r="J85" s="469"/>
      <c r="K85" s="670">
        <v>10582424.289999999</v>
      </c>
      <c r="L85" s="618"/>
      <c r="M85" s="612">
        <f t="shared" si="32"/>
        <v>0</v>
      </c>
      <c r="N85" s="612">
        <f t="shared" si="33"/>
        <v>0</v>
      </c>
      <c r="O85" s="612">
        <f t="shared" si="34"/>
        <v>10582424.289999999</v>
      </c>
      <c r="P85" s="612">
        <f t="shared" si="35"/>
        <v>0</v>
      </c>
      <c r="Q85" s="612">
        <f t="shared" si="36"/>
        <v>0</v>
      </c>
      <c r="R85" s="612">
        <f t="shared" si="37"/>
        <v>0</v>
      </c>
      <c r="S85" s="612">
        <f t="shared" si="38"/>
        <v>10582424.289999999</v>
      </c>
      <c r="T85" s="612">
        <f t="shared" si="39"/>
        <v>0</v>
      </c>
      <c r="U85" s="612">
        <f t="shared" si="40"/>
        <v>0</v>
      </c>
      <c r="V85" s="469"/>
      <c r="W85" s="612">
        <f t="shared" si="41"/>
        <v>10582424.289999999</v>
      </c>
      <c r="X85" s="612">
        <f t="shared" si="42"/>
        <v>0</v>
      </c>
      <c r="Y85" s="469"/>
      <c r="Z85" s="469"/>
      <c r="AA85" s="612">
        <f t="shared" si="43"/>
        <v>10582424.289999999</v>
      </c>
      <c r="AB85" s="612">
        <f t="shared" si="44"/>
        <v>0</v>
      </c>
      <c r="AC85" s="612">
        <f t="shared" si="45"/>
        <v>3152130.29</v>
      </c>
      <c r="AD85" s="612">
        <f t="shared" si="46"/>
        <v>3152130.29</v>
      </c>
      <c r="AE85" s="612">
        <f t="shared" si="47"/>
        <v>7430293.9999999991</v>
      </c>
      <c r="AF85" s="612"/>
      <c r="AG85" s="612"/>
      <c r="AH85" s="612"/>
      <c r="AI85" s="612"/>
      <c r="AJ85" s="469"/>
      <c r="AK85" s="658"/>
      <c r="AL85" s="658"/>
      <c r="AM85" s="469"/>
      <c r="AN85" s="469"/>
      <c r="AO85" s="469"/>
      <c r="AP85" s="469"/>
      <c r="AQ85" s="469"/>
      <c r="AR85" s="469"/>
      <c r="AS85" s="469"/>
      <c r="AT85" s="469"/>
      <c r="AU85" s="469"/>
      <c r="AV85" s="469"/>
      <c r="AW85" s="469"/>
      <c r="AX85" s="469"/>
      <c r="AY85" s="469"/>
      <c r="AZ85" s="469"/>
      <c r="BA85" s="469"/>
      <c r="BB85" s="469"/>
      <c r="BC85" s="469"/>
      <c r="BD85" s="469"/>
      <c r="BE85" s="469"/>
      <c r="BF85" s="547"/>
      <c r="BG85" s="469"/>
      <c r="BH85" s="469"/>
      <c r="BI85" s="469"/>
      <c r="BJ85" s="469"/>
      <c r="BK85" s="469"/>
      <c r="BL85" s="469"/>
      <c r="BM85" s="469"/>
      <c r="BN85" s="469"/>
      <c r="BO85" s="469"/>
      <c r="BP85" s="469"/>
      <c r="BQ85" s="469"/>
      <c r="BR85" s="469"/>
      <c r="BS85" s="634"/>
      <c r="BT85" s="547"/>
      <c r="BU85" s="547"/>
      <c r="BV85" s="547"/>
      <c r="BW85" s="547"/>
      <c r="BX85" s="547"/>
      <c r="BY85" s="547"/>
      <c r="BZ85" s="547"/>
      <c r="CA85" s="547"/>
      <c r="CB85" s="547"/>
      <c r="CC85" s="547"/>
      <c r="CD85" s="547"/>
      <c r="CE85" s="547"/>
      <c r="CF85" s="634"/>
      <c r="CG85" s="547"/>
      <c r="CH85" s="547"/>
      <c r="CI85" s="547"/>
      <c r="CJ85" s="547"/>
      <c r="CK85" s="547"/>
      <c r="CL85" s="547"/>
      <c r="CM85" s="547"/>
      <c r="CN85" s="547"/>
      <c r="CO85" s="547"/>
      <c r="CP85" s="547"/>
      <c r="CQ85" s="547"/>
      <c r="CR85" s="547"/>
      <c r="CS85" s="547"/>
      <c r="CT85" s="547"/>
      <c r="CU85" s="547"/>
      <c r="CV85" s="547"/>
      <c r="CW85" s="547"/>
      <c r="CX85" s="547"/>
      <c r="CY85" s="547"/>
      <c r="CZ85" s="547"/>
      <c r="DA85" s="547"/>
      <c r="DB85" s="547">
        <v>3152130.29</v>
      </c>
      <c r="DC85" s="547"/>
      <c r="DD85" s="547"/>
      <c r="DE85" s="547"/>
      <c r="DF85" s="547">
        <f>SUM(CT85:DE85)</f>
        <v>3152130.29</v>
      </c>
      <c r="DG85" s="547">
        <v>3484121.85</v>
      </c>
      <c r="DH85" s="547"/>
      <c r="DI85" s="547"/>
      <c r="DJ85" s="547">
        <v>3046116.65</v>
      </c>
      <c r="DK85" s="547"/>
      <c r="DL85" s="547"/>
      <c r="DM85" s="547"/>
      <c r="DN85" s="547">
        <v>592830.09</v>
      </c>
      <c r="DO85" s="469"/>
      <c r="DP85" s="469"/>
      <c r="DQ85" s="469"/>
      <c r="DR85" s="469"/>
      <c r="DS85" s="1">
        <f t="shared" si="53"/>
        <v>7123068.5899999999</v>
      </c>
    </row>
    <row r="86" spans="1:123" s="624" customFormat="1" ht="60" customHeight="1" x14ac:dyDescent="0.2">
      <c r="A86" s="797" t="s">
        <v>1616</v>
      </c>
      <c r="B86" s="797" t="s">
        <v>57</v>
      </c>
      <c r="C86" s="793" t="s">
        <v>1993</v>
      </c>
      <c r="D86" s="664" t="s">
        <v>2010</v>
      </c>
      <c r="E86" s="664" t="s">
        <v>1477</v>
      </c>
      <c r="F86" s="664" t="s">
        <v>49</v>
      </c>
      <c r="G86" s="664" t="s">
        <v>284</v>
      </c>
      <c r="H86" s="637" t="s">
        <v>61</v>
      </c>
      <c r="I86" s="665">
        <v>45405</v>
      </c>
      <c r="J86" s="665">
        <v>46141</v>
      </c>
      <c r="K86" s="666">
        <f>K87*14/100</f>
        <v>1349755.2529999998</v>
      </c>
      <c r="L86" s="667"/>
      <c r="M86" s="664"/>
      <c r="N86" s="664"/>
      <c r="O86" s="664"/>
      <c r="P86" s="664"/>
      <c r="Q86" s="664"/>
      <c r="R86" s="664"/>
      <c r="S86" s="664"/>
      <c r="T86" s="664"/>
      <c r="U86" s="664"/>
      <c r="V86" s="664"/>
      <c r="W86" s="664"/>
      <c r="X86" s="664"/>
      <c r="Y86" s="664"/>
      <c r="Z86" s="664"/>
      <c r="AA86" s="664"/>
      <c r="AB86" s="612">
        <f t="shared" si="44"/>
        <v>0</v>
      </c>
      <c r="AC86" s="612">
        <f t="shared" si="45"/>
        <v>0</v>
      </c>
      <c r="AD86" s="612">
        <f t="shared" si="46"/>
        <v>0</v>
      </c>
      <c r="AE86" s="612">
        <f t="shared" si="47"/>
        <v>1349755.2529999998</v>
      </c>
      <c r="AF86" s="612"/>
      <c r="AG86" s="612"/>
      <c r="AH86" s="612"/>
      <c r="AI86" s="612"/>
      <c r="AJ86" s="664"/>
      <c r="AK86" s="668"/>
      <c r="AL86" s="668"/>
      <c r="AM86" s="664"/>
      <c r="AN86" s="664"/>
      <c r="AO86" s="664"/>
      <c r="AP86" s="664"/>
      <c r="AQ86" s="664"/>
      <c r="AR86" s="664"/>
      <c r="AS86" s="664"/>
      <c r="AT86" s="664"/>
      <c r="AU86" s="664"/>
      <c r="AV86" s="664"/>
      <c r="AW86" s="664"/>
      <c r="AX86" s="664"/>
      <c r="AY86" s="664"/>
      <c r="AZ86" s="664"/>
      <c r="BA86" s="664"/>
      <c r="BB86" s="664"/>
      <c r="BC86" s="664"/>
      <c r="BD86" s="664"/>
      <c r="BE86" s="664"/>
      <c r="BF86" s="401"/>
      <c r="BG86" s="664"/>
      <c r="BH86" s="664"/>
      <c r="BI86" s="664"/>
      <c r="BJ86" s="664"/>
      <c r="BK86" s="664"/>
      <c r="BL86" s="664"/>
      <c r="BM86" s="664"/>
      <c r="BN86" s="664"/>
      <c r="BO86" s="664"/>
      <c r="BP86" s="664"/>
      <c r="BQ86" s="664"/>
      <c r="BR86" s="664"/>
      <c r="BS86" s="669"/>
      <c r="BT86" s="401"/>
      <c r="BU86" s="401"/>
      <c r="BV86" s="401"/>
      <c r="BW86" s="401"/>
      <c r="BX86" s="401"/>
      <c r="BY86" s="401"/>
      <c r="BZ86" s="401"/>
      <c r="CA86" s="401"/>
      <c r="CB86" s="401"/>
      <c r="CC86" s="401"/>
      <c r="CD86" s="401"/>
      <c r="CE86" s="401"/>
      <c r="CF86" s="669"/>
      <c r="CG86" s="401"/>
      <c r="CH86" s="401"/>
      <c r="CI86" s="401"/>
      <c r="CJ86" s="401"/>
      <c r="CK86" s="401"/>
      <c r="CL86" s="401"/>
      <c r="CM86" s="401"/>
      <c r="CN86" s="401"/>
      <c r="CO86" s="401"/>
      <c r="CP86" s="401"/>
      <c r="CQ86" s="401"/>
      <c r="CR86" s="401"/>
      <c r="CS86" s="401"/>
      <c r="CT86" s="401"/>
      <c r="CU86" s="401"/>
      <c r="CV86" s="401"/>
      <c r="CW86" s="401"/>
      <c r="CX86" s="401"/>
      <c r="CY86" s="401"/>
      <c r="CZ86" s="401"/>
      <c r="DA86" s="401"/>
      <c r="DB86" s="401"/>
      <c r="DC86" s="401"/>
      <c r="DD86" s="401"/>
      <c r="DE86" s="401"/>
      <c r="DF86" s="401">
        <f t="shared" si="49"/>
        <v>0</v>
      </c>
      <c r="DG86" s="401"/>
      <c r="DH86" s="547"/>
      <c r="DI86" s="547">
        <v>726594.33</v>
      </c>
      <c r="DJ86" s="547"/>
      <c r="DK86" s="547"/>
      <c r="DL86" s="547"/>
      <c r="DM86" s="547"/>
      <c r="DN86" s="547"/>
      <c r="DO86" s="469"/>
      <c r="DP86" s="469"/>
      <c r="DQ86" s="469"/>
      <c r="DR86" s="469"/>
      <c r="DS86" s="1">
        <f t="shared" si="53"/>
        <v>726594.33</v>
      </c>
    </row>
    <row r="87" spans="1:123" s="624" customFormat="1" x14ac:dyDescent="0.2">
      <c r="A87" s="798"/>
      <c r="B87" s="798"/>
      <c r="C87" s="793"/>
      <c r="D87" s="664" t="s">
        <v>2009</v>
      </c>
      <c r="E87" s="664"/>
      <c r="F87" s="664"/>
      <c r="G87" s="664"/>
      <c r="H87" s="637"/>
      <c r="I87" s="665"/>
      <c r="J87" s="665"/>
      <c r="K87" s="666">
        <v>9641108.9499999993</v>
      </c>
      <c r="L87" s="667"/>
      <c r="M87" s="664"/>
      <c r="N87" s="664"/>
      <c r="O87" s="664"/>
      <c r="P87" s="664"/>
      <c r="Q87" s="664"/>
      <c r="R87" s="664"/>
      <c r="S87" s="664"/>
      <c r="T87" s="664"/>
      <c r="U87" s="664"/>
      <c r="V87" s="664"/>
      <c r="W87" s="664"/>
      <c r="X87" s="664"/>
      <c r="Y87" s="664"/>
      <c r="Z87" s="664"/>
      <c r="AA87" s="664"/>
      <c r="AB87" s="612"/>
      <c r="AC87" s="612"/>
      <c r="AD87" s="612"/>
      <c r="AE87" s="612"/>
      <c r="AF87" s="612"/>
      <c r="AG87" s="612"/>
      <c r="AH87" s="612"/>
      <c r="AI87" s="612"/>
      <c r="AJ87" s="664"/>
      <c r="AK87" s="668"/>
      <c r="AL87" s="668"/>
      <c r="AM87" s="664"/>
      <c r="AN87" s="664"/>
      <c r="AO87" s="664"/>
      <c r="AP87" s="664"/>
      <c r="AQ87" s="664"/>
      <c r="AR87" s="664"/>
      <c r="AS87" s="664"/>
      <c r="AT87" s="664"/>
      <c r="AU87" s="664"/>
      <c r="AV87" s="664"/>
      <c r="AW87" s="664"/>
      <c r="AX87" s="664"/>
      <c r="AY87" s="664"/>
      <c r="AZ87" s="664"/>
      <c r="BA87" s="664"/>
      <c r="BB87" s="664"/>
      <c r="BC87" s="664"/>
      <c r="BD87" s="664"/>
      <c r="BE87" s="664"/>
      <c r="BF87" s="401"/>
      <c r="BG87" s="664"/>
      <c r="BH87" s="664"/>
      <c r="BI87" s="664"/>
      <c r="BJ87" s="664"/>
      <c r="BK87" s="664"/>
      <c r="BL87" s="664"/>
      <c r="BM87" s="664"/>
      <c r="BN87" s="664"/>
      <c r="BO87" s="664"/>
      <c r="BP87" s="664"/>
      <c r="BQ87" s="664"/>
      <c r="BR87" s="664"/>
      <c r="BS87" s="669"/>
      <c r="BT87" s="401"/>
      <c r="BU87" s="401"/>
      <c r="BV87" s="401"/>
      <c r="BW87" s="401"/>
      <c r="BX87" s="401"/>
      <c r="BY87" s="401"/>
      <c r="BZ87" s="401"/>
      <c r="CA87" s="401"/>
      <c r="CB87" s="401"/>
      <c r="CC87" s="401"/>
      <c r="CD87" s="401"/>
      <c r="CE87" s="401"/>
      <c r="CF87" s="669"/>
      <c r="CG87" s="401"/>
      <c r="CH87" s="401"/>
      <c r="CI87" s="401"/>
      <c r="CJ87" s="401"/>
      <c r="CK87" s="401"/>
      <c r="CL87" s="401"/>
      <c r="CM87" s="401"/>
      <c r="CN87" s="401"/>
      <c r="CO87" s="401"/>
      <c r="CP87" s="401"/>
      <c r="CQ87" s="401"/>
      <c r="CR87" s="401"/>
      <c r="CS87" s="401"/>
      <c r="CT87" s="401"/>
      <c r="CU87" s="401"/>
      <c r="CV87" s="401"/>
      <c r="CW87" s="401"/>
      <c r="CX87" s="401"/>
      <c r="CY87" s="401"/>
      <c r="CZ87" s="401"/>
      <c r="DA87" s="401"/>
      <c r="DB87" s="401"/>
      <c r="DC87" s="401"/>
      <c r="DD87" s="401"/>
      <c r="DE87" s="401"/>
      <c r="DF87" s="401"/>
      <c r="DG87" s="401"/>
      <c r="DH87" s="547"/>
      <c r="DI87" s="547">
        <v>1046695.5</v>
      </c>
      <c r="DJ87" s="547">
        <v>1721636.47</v>
      </c>
      <c r="DK87" s="547"/>
      <c r="DL87" s="547"/>
      <c r="DM87" s="547"/>
      <c r="DN87" s="547">
        <v>2499059.89</v>
      </c>
      <c r="DO87" s="469"/>
      <c r="DP87" s="469"/>
      <c r="DQ87" s="469"/>
      <c r="DR87" s="469"/>
      <c r="DS87" s="1">
        <f t="shared" si="53"/>
        <v>5267391.8599999994</v>
      </c>
    </row>
    <row r="88" spans="1:123" s="624" customFormat="1" x14ac:dyDescent="0.2">
      <c r="A88" s="660" t="s">
        <v>1869</v>
      </c>
      <c r="B88" s="662" t="s">
        <v>57</v>
      </c>
      <c r="C88" s="469" t="s">
        <v>1994</v>
      </c>
      <c r="D88" s="469" t="s">
        <v>1808</v>
      </c>
      <c r="E88" s="469" t="s">
        <v>63</v>
      </c>
      <c r="F88" s="469" t="s">
        <v>49</v>
      </c>
      <c r="G88" s="469" t="s">
        <v>284</v>
      </c>
      <c r="H88" s="617" t="s">
        <v>61</v>
      </c>
      <c r="I88" s="625">
        <v>45406</v>
      </c>
      <c r="J88" s="625">
        <v>45771</v>
      </c>
      <c r="K88" s="655">
        <v>2792468.69</v>
      </c>
      <c r="L88" s="656"/>
      <c r="M88" s="469"/>
      <c r="N88" s="469"/>
      <c r="O88" s="469"/>
      <c r="P88" s="469"/>
      <c r="Q88" s="469"/>
      <c r="R88" s="469"/>
      <c r="S88" s="469"/>
      <c r="T88" s="469"/>
      <c r="U88" s="469"/>
      <c r="V88" s="469"/>
      <c r="W88" s="469"/>
      <c r="X88" s="469"/>
      <c r="Y88" s="469"/>
      <c r="Z88" s="469"/>
      <c r="AA88" s="469"/>
      <c r="AB88" s="612">
        <f t="shared" si="44"/>
        <v>0</v>
      </c>
      <c r="AC88" s="612">
        <f t="shared" si="45"/>
        <v>0</v>
      </c>
      <c r="AD88" s="612">
        <f t="shared" si="46"/>
        <v>0</v>
      </c>
      <c r="AE88" s="612">
        <f t="shared" si="47"/>
        <v>2792468.69</v>
      </c>
      <c r="AF88" s="612"/>
      <c r="AG88" s="612"/>
      <c r="AH88" s="612"/>
      <c r="AI88" s="612"/>
      <c r="AJ88" s="469"/>
      <c r="AK88" s="658"/>
      <c r="AL88" s="658"/>
      <c r="AM88" s="469"/>
      <c r="AN88" s="469"/>
      <c r="AO88" s="469"/>
      <c r="AP88" s="469"/>
      <c r="AQ88" s="469"/>
      <c r="AR88" s="469"/>
      <c r="AS88" s="469"/>
      <c r="AT88" s="469"/>
      <c r="AU88" s="469"/>
      <c r="AV88" s="469"/>
      <c r="AW88" s="469"/>
      <c r="AX88" s="469"/>
      <c r="AY88" s="469"/>
      <c r="AZ88" s="469"/>
      <c r="BA88" s="469"/>
      <c r="BB88" s="469"/>
      <c r="BC88" s="469"/>
      <c r="BD88" s="469"/>
      <c r="BE88" s="469"/>
      <c r="BF88" s="657"/>
      <c r="BG88" s="469"/>
      <c r="BH88" s="469"/>
      <c r="BI88" s="469"/>
      <c r="BJ88" s="469"/>
      <c r="BK88" s="469"/>
      <c r="BL88" s="469"/>
      <c r="BM88" s="469"/>
      <c r="BN88" s="469"/>
      <c r="BO88" s="469"/>
      <c r="BP88" s="469"/>
      <c r="BQ88" s="469"/>
      <c r="BR88" s="469"/>
      <c r="BS88" s="659"/>
      <c r="BT88" s="547"/>
      <c r="BU88" s="547"/>
      <c r="BV88" s="547"/>
      <c r="BW88" s="547"/>
      <c r="BX88" s="547"/>
      <c r="BY88" s="547"/>
      <c r="BZ88" s="547"/>
      <c r="CA88" s="547"/>
      <c r="CB88" s="547"/>
      <c r="CC88" s="547"/>
      <c r="CD88" s="547"/>
      <c r="CE88" s="547"/>
      <c r="CF88" s="634"/>
      <c r="CG88" s="657"/>
      <c r="CH88" s="657"/>
      <c r="CI88" s="657"/>
      <c r="CJ88" s="657"/>
      <c r="CK88" s="657"/>
      <c r="CL88" s="657"/>
      <c r="CM88" s="657"/>
      <c r="CN88" s="657"/>
      <c r="CO88" s="657"/>
      <c r="CP88" s="657"/>
      <c r="CQ88" s="657"/>
      <c r="CR88" s="657"/>
      <c r="CS88" s="657"/>
      <c r="CT88" s="657"/>
      <c r="CU88" s="657"/>
      <c r="CV88" s="657"/>
      <c r="CW88" s="657"/>
      <c r="CX88" s="657"/>
      <c r="CY88" s="657"/>
      <c r="CZ88" s="657"/>
      <c r="DA88" s="657"/>
      <c r="DB88" s="657"/>
      <c r="DC88" s="657"/>
      <c r="DD88" s="657"/>
      <c r="DE88" s="657"/>
      <c r="DF88" s="401">
        <f t="shared" si="49"/>
        <v>0</v>
      </c>
      <c r="DG88" s="657">
        <v>1609610.61</v>
      </c>
      <c r="DH88" s="547"/>
      <c r="DI88" s="547">
        <v>675153.4</v>
      </c>
      <c r="DJ88" s="547"/>
      <c r="DK88" s="547">
        <v>1110161.3899999999</v>
      </c>
      <c r="DL88" s="547"/>
      <c r="DM88" s="547"/>
      <c r="DN88" s="547"/>
      <c r="DO88" s="469"/>
      <c r="DP88" s="469"/>
      <c r="DQ88" s="469"/>
      <c r="DR88" s="469">
        <v>826266.75</v>
      </c>
      <c r="DS88" s="1">
        <f t="shared" si="53"/>
        <v>4221192.1500000004</v>
      </c>
    </row>
    <row r="89" spans="1:123" s="624" customFormat="1" x14ac:dyDescent="0.2">
      <c r="A89" s="760" t="s">
        <v>1870</v>
      </c>
      <c r="B89" s="760" t="s">
        <v>57</v>
      </c>
      <c r="C89" s="769" t="s">
        <v>1871</v>
      </c>
      <c r="D89" s="469" t="s">
        <v>2008</v>
      </c>
      <c r="E89" s="469" t="s">
        <v>1885</v>
      </c>
      <c r="F89" s="469" t="s">
        <v>49</v>
      </c>
      <c r="G89" s="469" t="s">
        <v>284</v>
      </c>
      <c r="H89" s="617" t="s">
        <v>61</v>
      </c>
      <c r="I89" s="625">
        <v>45406</v>
      </c>
      <c r="J89" s="625">
        <v>45589</v>
      </c>
      <c r="K89" s="655">
        <v>3499103.85</v>
      </c>
      <c r="L89" s="656"/>
      <c r="M89" s="469"/>
      <c r="N89" s="469"/>
      <c r="O89" s="469"/>
      <c r="P89" s="469"/>
      <c r="Q89" s="469"/>
      <c r="R89" s="469"/>
      <c r="S89" s="469"/>
      <c r="T89" s="469"/>
      <c r="U89" s="469"/>
      <c r="V89" s="469"/>
      <c r="W89" s="469"/>
      <c r="X89" s="469"/>
      <c r="Y89" s="469"/>
      <c r="Z89" s="469"/>
      <c r="AA89" s="469"/>
      <c r="AB89" s="612">
        <f t="shared" si="44"/>
        <v>0</v>
      </c>
      <c r="AC89" s="612">
        <f t="shared" si="45"/>
        <v>0</v>
      </c>
      <c r="AD89" s="612">
        <f t="shared" si="46"/>
        <v>0</v>
      </c>
      <c r="AE89" s="612">
        <f t="shared" si="47"/>
        <v>3499103.85</v>
      </c>
      <c r="AF89" s="612"/>
      <c r="AG89" s="612"/>
      <c r="AH89" s="612"/>
      <c r="AI89" s="612"/>
      <c r="AJ89" s="469"/>
      <c r="AK89" s="658"/>
      <c r="AL89" s="658"/>
      <c r="AM89" s="469"/>
      <c r="AN89" s="469"/>
      <c r="AO89" s="469"/>
      <c r="AP89" s="469"/>
      <c r="AQ89" s="469"/>
      <c r="AR89" s="469"/>
      <c r="AS89" s="469"/>
      <c r="AT89" s="469"/>
      <c r="AU89" s="469"/>
      <c r="AV89" s="469"/>
      <c r="AW89" s="469"/>
      <c r="AX89" s="469"/>
      <c r="AY89" s="469"/>
      <c r="AZ89" s="469"/>
      <c r="BA89" s="469"/>
      <c r="BB89" s="469"/>
      <c r="BC89" s="469"/>
      <c r="BD89" s="469"/>
      <c r="BE89" s="469"/>
      <c r="BF89" s="657"/>
      <c r="BG89" s="469"/>
      <c r="BH89" s="469"/>
      <c r="BI89" s="469"/>
      <c r="BJ89" s="469"/>
      <c r="BK89" s="469"/>
      <c r="BL89" s="469"/>
      <c r="BM89" s="469"/>
      <c r="BN89" s="469"/>
      <c r="BO89" s="469"/>
      <c r="BP89" s="469"/>
      <c r="BQ89" s="469"/>
      <c r="BR89" s="469"/>
      <c r="BS89" s="659"/>
      <c r="BT89" s="547"/>
      <c r="BU89" s="547"/>
      <c r="BV89" s="547"/>
      <c r="BW89" s="547"/>
      <c r="BX89" s="547"/>
      <c r="BY89" s="547"/>
      <c r="BZ89" s="547"/>
      <c r="CA89" s="547"/>
      <c r="CB89" s="547"/>
      <c r="CC89" s="547"/>
      <c r="CD89" s="547"/>
      <c r="CE89" s="547"/>
      <c r="CF89" s="634"/>
      <c r="CG89" s="657"/>
      <c r="CH89" s="657"/>
      <c r="CI89" s="657"/>
      <c r="CJ89" s="657"/>
      <c r="CK89" s="657"/>
      <c r="CL89" s="657"/>
      <c r="CM89" s="657"/>
      <c r="CN89" s="657"/>
      <c r="CO89" s="657"/>
      <c r="CP89" s="657"/>
      <c r="CQ89" s="657"/>
      <c r="CR89" s="657"/>
      <c r="CS89" s="657"/>
      <c r="CT89" s="657"/>
      <c r="CU89" s="657"/>
      <c r="CV89" s="657"/>
      <c r="CW89" s="657"/>
      <c r="CX89" s="657"/>
      <c r="CY89" s="657"/>
      <c r="CZ89" s="657"/>
      <c r="DA89" s="657"/>
      <c r="DB89" s="657"/>
      <c r="DC89" s="657"/>
      <c r="DD89" s="657"/>
      <c r="DE89" s="657"/>
      <c r="DF89" s="401">
        <f t="shared" si="49"/>
        <v>0</v>
      </c>
      <c r="DG89" s="657"/>
      <c r="DH89" s="547"/>
      <c r="DI89" s="547">
        <v>436954</v>
      </c>
      <c r="DJ89" s="547">
        <v>942779.2</v>
      </c>
      <c r="DK89" s="547"/>
      <c r="DL89" s="547">
        <v>1368333.6</v>
      </c>
      <c r="DM89" s="547"/>
      <c r="DN89" s="547"/>
      <c r="DO89" s="469"/>
      <c r="DP89" s="469"/>
      <c r="DQ89" s="469"/>
      <c r="DR89" s="469"/>
      <c r="DS89" s="1">
        <f t="shared" si="53"/>
        <v>2748066.8</v>
      </c>
    </row>
    <row r="90" spans="1:123" s="624" customFormat="1" x14ac:dyDescent="0.2">
      <c r="A90" s="760"/>
      <c r="B90" s="760"/>
      <c r="C90" s="769"/>
      <c r="D90" s="469" t="s">
        <v>2007</v>
      </c>
      <c r="E90" s="469"/>
      <c r="F90" s="469"/>
      <c r="G90" s="469"/>
      <c r="H90" s="617"/>
      <c r="I90" s="469"/>
      <c r="J90" s="469"/>
      <c r="K90" s="655"/>
      <c r="L90" s="656"/>
      <c r="M90" s="469"/>
      <c r="N90" s="469"/>
      <c r="O90" s="469"/>
      <c r="P90" s="469"/>
      <c r="Q90" s="469"/>
      <c r="R90" s="469"/>
      <c r="S90" s="469"/>
      <c r="T90" s="469"/>
      <c r="U90" s="469"/>
      <c r="V90" s="469"/>
      <c r="W90" s="469"/>
      <c r="X90" s="469"/>
      <c r="Y90" s="469"/>
      <c r="Z90" s="469"/>
      <c r="AA90" s="469"/>
      <c r="AB90" s="469"/>
      <c r="AC90" s="657"/>
      <c r="AD90" s="657"/>
      <c r="AE90" s="469"/>
      <c r="AF90" s="469"/>
      <c r="AG90" s="469"/>
      <c r="AH90" s="469"/>
      <c r="AI90" s="469"/>
      <c r="AJ90" s="469"/>
      <c r="AK90" s="658"/>
      <c r="AL90" s="658"/>
      <c r="AM90" s="469"/>
      <c r="AN90" s="469"/>
      <c r="AO90" s="469"/>
      <c r="AP90" s="469"/>
      <c r="AQ90" s="469"/>
      <c r="AR90" s="469"/>
      <c r="AS90" s="469"/>
      <c r="AT90" s="469"/>
      <c r="AU90" s="469"/>
      <c r="AV90" s="469"/>
      <c r="AW90" s="469"/>
      <c r="AX90" s="469"/>
      <c r="AY90" s="469"/>
      <c r="AZ90" s="469"/>
      <c r="BA90" s="469"/>
      <c r="BB90" s="469"/>
      <c r="BC90" s="469"/>
      <c r="BD90" s="469"/>
      <c r="BE90" s="469"/>
      <c r="BF90" s="657"/>
      <c r="BG90" s="469"/>
      <c r="BH90" s="469"/>
      <c r="BI90" s="469"/>
      <c r="BJ90" s="469"/>
      <c r="BK90" s="469"/>
      <c r="BL90" s="469"/>
      <c r="BM90" s="469"/>
      <c r="BN90" s="469"/>
      <c r="BO90" s="469"/>
      <c r="BP90" s="469"/>
      <c r="BQ90" s="469"/>
      <c r="BR90" s="469"/>
      <c r="BS90" s="659"/>
      <c r="BT90" s="547"/>
      <c r="BU90" s="547"/>
      <c r="BV90" s="547"/>
      <c r="BW90" s="547"/>
      <c r="BX90" s="547"/>
      <c r="BY90" s="547"/>
      <c r="BZ90" s="547"/>
      <c r="CA90" s="547"/>
      <c r="CB90" s="547"/>
      <c r="CC90" s="547"/>
      <c r="CD90" s="547"/>
      <c r="CE90" s="547"/>
      <c r="CF90" s="634"/>
      <c r="CG90" s="657"/>
      <c r="CH90" s="657"/>
      <c r="CI90" s="657"/>
      <c r="CJ90" s="657"/>
      <c r="CK90" s="657"/>
      <c r="CL90" s="657"/>
      <c r="CM90" s="657"/>
      <c r="CN90" s="657"/>
      <c r="CO90" s="657"/>
      <c r="CP90" s="657"/>
      <c r="CQ90" s="657"/>
      <c r="CR90" s="657"/>
      <c r="CS90" s="657"/>
      <c r="CT90" s="657"/>
      <c r="CU90" s="657"/>
      <c r="CV90" s="657"/>
      <c r="CW90" s="657"/>
      <c r="CX90" s="657"/>
      <c r="CY90" s="657"/>
      <c r="CZ90" s="657"/>
      <c r="DA90" s="657"/>
      <c r="DB90" s="657"/>
      <c r="DC90" s="657"/>
      <c r="DD90" s="657"/>
      <c r="DE90" s="657"/>
      <c r="DF90" s="657"/>
      <c r="DG90" s="657"/>
      <c r="DH90" s="547">
        <v>368200</v>
      </c>
      <c r="DI90" s="547"/>
      <c r="DJ90" s="547"/>
      <c r="DK90" s="547"/>
      <c r="DL90" s="547"/>
      <c r="DM90" s="547"/>
      <c r="DN90" s="547"/>
      <c r="DO90" s="469"/>
      <c r="DP90" s="469"/>
      <c r="DQ90" s="469"/>
      <c r="DR90" s="469"/>
      <c r="DS90" s="1">
        <f t="shared" si="53"/>
        <v>368200</v>
      </c>
    </row>
    <row r="91" spans="1:123" s="624" customFormat="1" ht="24" customHeight="1" x14ac:dyDescent="0.2">
      <c r="A91" s="769" t="s">
        <v>1995</v>
      </c>
      <c r="B91" s="769" t="s">
        <v>57</v>
      </c>
      <c r="C91" s="796" t="s">
        <v>1984</v>
      </c>
      <c r="D91" s="469" t="s">
        <v>2006</v>
      </c>
      <c r="E91" s="469"/>
      <c r="F91" s="469"/>
      <c r="G91" s="469"/>
      <c r="H91" s="617"/>
      <c r="I91" s="469"/>
      <c r="J91" s="469"/>
      <c r="K91" s="655">
        <v>12980000</v>
      </c>
      <c r="L91" s="656"/>
      <c r="M91" s="469"/>
      <c r="N91" s="469"/>
      <c r="O91" s="469"/>
      <c r="P91" s="469"/>
      <c r="Q91" s="469"/>
      <c r="R91" s="469"/>
      <c r="S91" s="469"/>
      <c r="T91" s="469"/>
      <c r="U91" s="469"/>
      <c r="V91" s="469"/>
      <c r="W91" s="469"/>
      <c r="X91" s="469"/>
      <c r="Y91" s="469"/>
      <c r="Z91" s="469"/>
      <c r="AA91" s="469"/>
      <c r="AB91" s="469"/>
      <c r="AC91" s="657"/>
      <c r="AD91" s="657"/>
      <c r="AE91" s="469"/>
      <c r="AF91" s="469"/>
      <c r="AG91" s="469"/>
      <c r="AH91" s="469"/>
      <c r="AI91" s="469"/>
      <c r="AJ91" s="469"/>
      <c r="AK91" s="658"/>
      <c r="AL91" s="658"/>
      <c r="AM91" s="469"/>
      <c r="AN91" s="469"/>
      <c r="AO91" s="469"/>
      <c r="AP91" s="469"/>
      <c r="AQ91" s="469"/>
      <c r="AR91" s="469"/>
      <c r="AS91" s="469"/>
      <c r="AT91" s="469"/>
      <c r="AU91" s="469"/>
      <c r="AV91" s="469"/>
      <c r="AW91" s="469"/>
      <c r="AX91" s="469"/>
      <c r="AY91" s="469"/>
      <c r="AZ91" s="469"/>
      <c r="BA91" s="469"/>
      <c r="BB91" s="469"/>
      <c r="BC91" s="469"/>
      <c r="BD91" s="469"/>
      <c r="BE91" s="469"/>
      <c r="BF91" s="657"/>
      <c r="BG91" s="469"/>
      <c r="BH91" s="469"/>
      <c r="BI91" s="469"/>
      <c r="BJ91" s="469"/>
      <c r="BK91" s="469"/>
      <c r="BL91" s="469"/>
      <c r="BM91" s="469"/>
      <c r="BN91" s="469"/>
      <c r="BO91" s="469"/>
      <c r="BP91" s="469"/>
      <c r="BQ91" s="469"/>
      <c r="BR91" s="469"/>
      <c r="BS91" s="659"/>
      <c r="BT91" s="547"/>
      <c r="BU91" s="547"/>
      <c r="BV91" s="547"/>
      <c r="BW91" s="547"/>
      <c r="BX91" s="547"/>
      <c r="BY91" s="547"/>
      <c r="BZ91" s="547"/>
      <c r="CA91" s="547"/>
      <c r="CB91" s="547"/>
      <c r="CC91" s="547"/>
      <c r="CD91" s="547"/>
      <c r="CE91" s="547"/>
      <c r="CF91" s="634"/>
      <c r="CG91" s="657"/>
      <c r="CH91" s="657"/>
      <c r="CI91" s="657"/>
      <c r="CJ91" s="657"/>
      <c r="CK91" s="657"/>
      <c r="CL91" s="657"/>
      <c r="CM91" s="657"/>
      <c r="CN91" s="657"/>
      <c r="CO91" s="657"/>
      <c r="CP91" s="657"/>
      <c r="CQ91" s="657"/>
      <c r="CR91" s="657"/>
      <c r="CS91" s="657"/>
      <c r="CT91" s="657"/>
      <c r="CU91" s="657"/>
      <c r="CV91" s="657"/>
      <c r="CW91" s="657"/>
      <c r="CX91" s="657"/>
      <c r="CY91" s="657"/>
      <c r="CZ91" s="657"/>
      <c r="DA91" s="657"/>
      <c r="DB91" s="657"/>
      <c r="DC91" s="657"/>
      <c r="DD91" s="657"/>
      <c r="DE91" s="657"/>
      <c r="DF91" s="657"/>
      <c r="DG91" s="657"/>
      <c r="DH91" s="547"/>
      <c r="DI91" s="547"/>
      <c r="DJ91" s="547"/>
      <c r="DK91" s="547"/>
      <c r="DL91" s="547"/>
      <c r="DM91" s="547"/>
      <c r="DN91" s="547">
        <v>4504824.5599999996</v>
      </c>
      <c r="DO91" s="469">
        <v>3564382.16</v>
      </c>
      <c r="DP91" s="469">
        <v>1577422.8</v>
      </c>
      <c r="DQ91" s="469"/>
      <c r="DR91" s="469"/>
      <c r="DS91" s="1">
        <f t="shared" si="53"/>
        <v>9646629.5199999996</v>
      </c>
    </row>
    <row r="92" spans="1:123" s="624" customFormat="1" x14ac:dyDescent="0.2">
      <c r="A92" s="769"/>
      <c r="B92" s="769"/>
      <c r="C92" s="796"/>
      <c r="D92" s="469" t="s">
        <v>2005</v>
      </c>
      <c r="E92" s="469"/>
      <c r="F92" s="469"/>
      <c r="G92" s="469"/>
      <c r="H92" s="617"/>
      <c r="I92" s="469"/>
      <c r="J92" s="469"/>
      <c r="K92" s="655">
        <f>K91*14/100</f>
        <v>1817200</v>
      </c>
      <c r="L92" s="656"/>
      <c r="M92" s="469"/>
      <c r="N92" s="469"/>
      <c r="O92" s="469"/>
      <c r="P92" s="469"/>
      <c r="Q92" s="469"/>
      <c r="R92" s="469"/>
      <c r="S92" s="469"/>
      <c r="T92" s="469"/>
      <c r="U92" s="469"/>
      <c r="V92" s="469"/>
      <c r="W92" s="469"/>
      <c r="X92" s="469"/>
      <c r="Y92" s="469"/>
      <c r="Z92" s="469"/>
      <c r="AA92" s="469"/>
      <c r="AB92" s="469"/>
      <c r="AC92" s="657"/>
      <c r="AD92" s="657"/>
      <c r="AE92" s="469"/>
      <c r="AF92" s="469"/>
      <c r="AG92" s="469"/>
      <c r="AH92" s="469"/>
      <c r="AI92" s="469"/>
      <c r="AJ92" s="469"/>
      <c r="AK92" s="658"/>
      <c r="AL92" s="658"/>
      <c r="AM92" s="469"/>
      <c r="AN92" s="469"/>
      <c r="AO92" s="469"/>
      <c r="AP92" s="469"/>
      <c r="AQ92" s="469"/>
      <c r="AR92" s="469"/>
      <c r="AS92" s="469"/>
      <c r="AT92" s="469"/>
      <c r="AU92" s="469"/>
      <c r="AV92" s="469"/>
      <c r="AW92" s="469"/>
      <c r="AX92" s="469"/>
      <c r="AY92" s="469"/>
      <c r="AZ92" s="469"/>
      <c r="BA92" s="469"/>
      <c r="BB92" s="469"/>
      <c r="BC92" s="469"/>
      <c r="BD92" s="469"/>
      <c r="BE92" s="469"/>
      <c r="BF92" s="657"/>
      <c r="BG92" s="469"/>
      <c r="BH92" s="469"/>
      <c r="BI92" s="469"/>
      <c r="BJ92" s="469"/>
      <c r="BK92" s="469"/>
      <c r="BL92" s="469"/>
      <c r="BM92" s="469"/>
      <c r="BN92" s="469"/>
      <c r="BO92" s="469"/>
      <c r="BP92" s="469"/>
      <c r="BQ92" s="469"/>
      <c r="BR92" s="469"/>
      <c r="BS92" s="659"/>
      <c r="BT92" s="547"/>
      <c r="BU92" s="547"/>
      <c r="BV92" s="547"/>
      <c r="BW92" s="547"/>
      <c r="BX92" s="547"/>
      <c r="BY92" s="547"/>
      <c r="BZ92" s="547"/>
      <c r="CA92" s="547"/>
      <c r="CB92" s="547"/>
      <c r="CC92" s="547"/>
      <c r="CD92" s="547"/>
      <c r="CE92" s="547"/>
      <c r="CF92" s="634"/>
      <c r="CG92" s="657"/>
      <c r="CH92" s="657"/>
      <c r="CI92" s="657"/>
      <c r="CJ92" s="657"/>
      <c r="CK92" s="657"/>
      <c r="CL92" s="657"/>
      <c r="CM92" s="657"/>
      <c r="CN92" s="657"/>
      <c r="CO92" s="657"/>
      <c r="CP92" s="657"/>
      <c r="CQ92" s="657"/>
      <c r="CR92" s="657"/>
      <c r="CS92" s="657"/>
      <c r="CT92" s="657"/>
      <c r="CU92" s="657"/>
      <c r="CV92" s="657"/>
      <c r="CW92" s="657"/>
      <c r="CX92" s="657"/>
      <c r="CY92" s="657"/>
      <c r="CZ92" s="657"/>
      <c r="DA92" s="657"/>
      <c r="DB92" s="657"/>
      <c r="DC92" s="657"/>
      <c r="DD92" s="657"/>
      <c r="DE92" s="657"/>
      <c r="DF92" s="657"/>
      <c r="DG92" s="657"/>
      <c r="DH92" s="547"/>
      <c r="DI92" s="547"/>
      <c r="DJ92" s="547">
        <v>485202.62</v>
      </c>
      <c r="DK92" s="547"/>
      <c r="DL92" s="547"/>
      <c r="DM92" s="547"/>
      <c r="DN92" s="547">
        <v>567358.03</v>
      </c>
      <c r="DO92" s="469"/>
      <c r="DP92" s="469">
        <v>220406.85</v>
      </c>
      <c r="DQ92" s="469"/>
      <c r="DR92" s="469"/>
      <c r="DS92" s="1">
        <f t="shared" si="53"/>
        <v>1272967.5</v>
      </c>
    </row>
    <row r="93" spans="1:123" s="624" customFormat="1" x14ac:dyDescent="0.2">
      <c r="A93" s="753" t="s">
        <v>1996</v>
      </c>
      <c r="B93" s="753" t="s">
        <v>57</v>
      </c>
      <c r="C93" s="753" t="s">
        <v>1985</v>
      </c>
      <c r="D93" s="469" t="s">
        <v>2004</v>
      </c>
      <c r="E93" s="469"/>
      <c r="F93" s="469"/>
      <c r="G93" s="469"/>
      <c r="H93" s="617"/>
      <c r="I93" s="469"/>
      <c r="J93" s="469"/>
      <c r="K93" s="655">
        <v>10200000</v>
      </c>
      <c r="L93" s="656"/>
      <c r="M93" s="469"/>
      <c r="N93" s="469"/>
      <c r="O93" s="469"/>
      <c r="P93" s="469"/>
      <c r="Q93" s="469"/>
      <c r="R93" s="469"/>
      <c r="S93" s="469"/>
      <c r="T93" s="469"/>
      <c r="U93" s="469"/>
      <c r="V93" s="469"/>
      <c r="W93" s="469"/>
      <c r="X93" s="469"/>
      <c r="Y93" s="469"/>
      <c r="Z93" s="469"/>
      <c r="AA93" s="469"/>
      <c r="AB93" s="469"/>
      <c r="AC93" s="657"/>
      <c r="AD93" s="657"/>
      <c r="AE93" s="469"/>
      <c r="AF93" s="469"/>
      <c r="AG93" s="469"/>
      <c r="AH93" s="469"/>
      <c r="AI93" s="469"/>
      <c r="AJ93" s="469"/>
      <c r="AK93" s="658"/>
      <c r="AL93" s="658"/>
      <c r="AM93" s="469"/>
      <c r="AN93" s="469"/>
      <c r="AO93" s="469"/>
      <c r="AP93" s="469"/>
      <c r="AQ93" s="469"/>
      <c r="AR93" s="469"/>
      <c r="AS93" s="469"/>
      <c r="AT93" s="469"/>
      <c r="AU93" s="469"/>
      <c r="AV93" s="469"/>
      <c r="AW93" s="469"/>
      <c r="AX93" s="469"/>
      <c r="AY93" s="469"/>
      <c r="AZ93" s="469"/>
      <c r="BA93" s="469"/>
      <c r="BB93" s="469"/>
      <c r="BC93" s="469"/>
      <c r="BD93" s="469"/>
      <c r="BE93" s="469"/>
      <c r="BF93" s="657"/>
      <c r="BG93" s="469"/>
      <c r="BH93" s="469"/>
      <c r="BI93" s="469"/>
      <c r="BJ93" s="469"/>
      <c r="BK93" s="469"/>
      <c r="BL93" s="469"/>
      <c r="BM93" s="469"/>
      <c r="BN93" s="469"/>
      <c r="BO93" s="469"/>
      <c r="BP93" s="469"/>
      <c r="BQ93" s="469"/>
      <c r="BR93" s="469"/>
      <c r="BS93" s="659"/>
      <c r="BT93" s="547"/>
      <c r="BU93" s="547"/>
      <c r="BV93" s="547"/>
      <c r="BW93" s="547"/>
      <c r="BX93" s="547"/>
      <c r="BY93" s="547"/>
      <c r="BZ93" s="547"/>
      <c r="CA93" s="547"/>
      <c r="CB93" s="547"/>
      <c r="CC93" s="547"/>
      <c r="CD93" s="547"/>
      <c r="CE93" s="547"/>
      <c r="CF93" s="634"/>
      <c r="CG93" s="657"/>
      <c r="CH93" s="657"/>
      <c r="CI93" s="657"/>
      <c r="CJ93" s="657"/>
      <c r="CK93" s="657"/>
      <c r="CL93" s="657"/>
      <c r="CM93" s="657"/>
      <c r="CN93" s="657"/>
      <c r="CO93" s="657"/>
      <c r="CP93" s="657"/>
      <c r="CQ93" s="657"/>
      <c r="CR93" s="657"/>
      <c r="CS93" s="657"/>
      <c r="CT93" s="657"/>
      <c r="CU93" s="657"/>
      <c r="CV93" s="657"/>
      <c r="CW93" s="657"/>
      <c r="CX93" s="657"/>
      <c r="CY93" s="657"/>
      <c r="CZ93" s="657"/>
      <c r="DA93" s="657"/>
      <c r="DB93" s="657"/>
      <c r="DC93" s="657"/>
      <c r="DD93" s="657"/>
      <c r="DE93" s="657"/>
      <c r="DF93" s="657"/>
      <c r="DG93" s="657"/>
      <c r="DH93" s="547"/>
      <c r="DI93" s="547"/>
      <c r="DJ93" s="547"/>
      <c r="DK93" s="547"/>
      <c r="DL93" s="547"/>
      <c r="DM93" s="547"/>
      <c r="DN93" s="547">
        <v>3223549.02</v>
      </c>
      <c r="DO93" s="469">
        <v>1739731.5</v>
      </c>
      <c r="DP93" s="469">
        <v>1352201.63</v>
      </c>
      <c r="DQ93" s="469"/>
      <c r="DR93" s="469"/>
      <c r="DS93" s="1">
        <f t="shared" si="53"/>
        <v>6315482.1499999994</v>
      </c>
    </row>
    <row r="94" spans="1:123" s="624" customFormat="1" x14ac:dyDescent="0.2">
      <c r="A94" s="755"/>
      <c r="B94" s="755"/>
      <c r="C94" s="755"/>
      <c r="D94" s="469" t="s">
        <v>2003</v>
      </c>
      <c r="E94" s="469"/>
      <c r="F94" s="469"/>
      <c r="G94" s="469"/>
      <c r="H94" s="617"/>
      <c r="I94" s="469"/>
      <c r="J94" s="469"/>
      <c r="K94" s="655"/>
      <c r="L94" s="656"/>
      <c r="M94" s="469"/>
      <c r="N94" s="469"/>
      <c r="O94" s="469"/>
      <c r="P94" s="469"/>
      <c r="Q94" s="469"/>
      <c r="R94" s="469"/>
      <c r="S94" s="469"/>
      <c r="T94" s="469"/>
      <c r="U94" s="469"/>
      <c r="V94" s="469"/>
      <c r="W94" s="469"/>
      <c r="X94" s="469"/>
      <c r="Y94" s="469"/>
      <c r="Z94" s="469"/>
      <c r="AA94" s="469"/>
      <c r="AB94" s="469"/>
      <c r="AC94" s="657"/>
      <c r="AD94" s="657"/>
      <c r="AE94" s="469"/>
      <c r="AF94" s="469"/>
      <c r="AG94" s="469"/>
      <c r="AH94" s="469"/>
      <c r="AI94" s="469"/>
      <c r="AJ94" s="469"/>
      <c r="AK94" s="658"/>
      <c r="AL94" s="658"/>
      <c r="AM94" s="469"/>
      <c r="AN94" s="469"/>
      <c r="AO94" s="469"/>
      <c r="AP94" s="469"/>
      <c r="AQ94" s="469"/>
      <c r="AR94" s="469"/>
      <c r="AS94" s="469"/>
      <c r="AT94" s="469"/>
      <c r="AU94" s="469"/>
      <c r="AV94" s="469"/>
      <c r="AW94" s="469"/>
      <c r="AX94" s="469"/>
      <c r="AY94" s="469"/>
      <c r="AZ94" s="469"/>
      <c r="BA94" s="469"/>
      <c r="BB94" s="469"/>
      <c r="BC94" s="469"/>
      <c r="BD94" s="469"/>
      <c r="BE94" s="469"/>
      <c r="BF94" s="657"/>
      <c r="BG94" s="469"/>
      <c r="BH94" s="469"/>
      <c r="BI94" s="469"/>
      <c r="BJ94" s="469"/>
      <c r="BK94" s="469"/>
      <c r="BL94" s="469"/>
      <c r="BM94" s="469"/>
      <c r="BN94" s="469"/>
      <c r="BO94" s="469"/>
      <c r="BP94" s="469"/>
      <c r="BQ94" s="469"/>
      <c r="BR94" s="469"/>
      <c r="BS94" s="659"/>
      <c r="BT94" s="547"/>
      <c r="BU94" s="547"/>
      <c r="BV94" s="547"/>
      <c r="BW94" s="547"/>
      <c r="BX94" s="547"/>
      <c r="BY94" s="547"/>
      <c r="BZ94" s="547"/>
      <c r="CA94" s="547"/>
      <c r="CB94" s="547"/>
      <c r="CC94" s="547"/>
      <c r="CD94" s="547"/>
      <c r="CE94" s="547"/>
      <c r="CF94" s="634"/>
      <c r="CG94" s="657"/>
      <c r="CH94" s="657"/>
      <c r="CI94" s="657"/>
      <c r="CJ94" s="657"/>
      <c r="CK94" s="657"/>
      <c r="CL94" s="657"/>
      <c r="CM94" s="657"/>
      <c r="CN94" s="657"/>
      <c r="CO94" s="657"/>
      <c r="CP94" s="657"/>
      <c r="CQ94" s="657"/>
      <c r="CR94" s="657"/>
      <c r="CS94" s="657"/>
      <c r="CT94" s="657"/>
      <c r="CU94" s="657"/>
      <c r="CV94" s="657"/>
      <c r="CW94" s="657"/>
      <c r="CX94" s="657"/>
      <c r="CY94" s="657"/>
      <c r="CZ94" s="657"/>
      <c r="DA94" s="657"/>
      <c r="DB94" s="657"/>
      <c r="DC94" s="657"/>
      <c r="DD94" s="657"/>
      <c r="DE94" s="657"/>
      <c r="DF94" s="657"/>
      <c r="DG94" s="657"/>
      <c r="DH94" s="547"/>
      <c r="DI94" s="547"/>
      <c r="DJ94" s="547">
        <v>783210.12</v>
      </c>
      <c r="DK94" s="547"/>
      <c r="DL94" s="547"/>
      <c r="DM94" s="547"/>
      <c r="DN94" s="547"/>
      <c r="DO94" s="469"/>
      <c r="DP94" s="469"/>
      <c r="DQ94" s="469"/>
      <c r="DR94" s="469"/>
      <c r="DS94" s="1">
        <f t="shared" si="53"/>
        <v>783210.12</v>
      </c>
    </row>
    <row r="95" spans="1:123" s="624" customFormat="1" x14ac:dyDescent="0.2">
      <c r="A95" s="769" t="s">
        <v>1997</v>
      </c>
      <c r="B95" s="760" t="s">
        <v>57</v>
      </c>
      <c r="C95" s="769" t="s">
        <v>1986</v>
      </c>
      <c r="D95" s="469" t="s">
        <v>2002</v>
      </c>
      <c r="E95" s="469"/>
      <c r="F95" s="469"/>
      <c r="G95" s="469"/>
      <c r="H95" s="617"/>
      <c r="I95" s="469"/>
      <c r="J95" s="469"/>
      <c r="K95" s="655">
        <v>7900000</v>
      </c>
      <c r="L95" s="656"/>
      <c r="M95" s="469"/>
      <c r="N95" s="469"/>
      <c r="O95" s="469"/>
      <c r="P95" s="469"/>
      <c r="Q95" s="469"/>
      <c r="R95" s="469"/>
      <c r="S95" s="469"/>
      <c r="T95" s="469"/>
      <c r="U95" s="469"/>
      <c r="V95" s="469"/>
      <c r="W95" s="469"/>
      <c r="X95" s="469"/>
      <c r="Y95" s="469"/>
      <c r="Z95" s="469"/>
      <c r="AA95" s="469"/>
      <c r="AB95" s="469"/>
      <c r="AC95" s="657"/>
      <c r="AD95" s="657"/>
      <c r="AE95" s="469"/>
      <c r="AF95" s="469"/>
      <c r="AG95" s="469"/>
      <c r="AH95" s="469"/>
      <c r="AI95" s="469"/>
      <c r="AJ95" s="469"/>
      <c r="AK95" s="658"/>
      <c r="AL95" s="658"/>
      <c r="AM95" s="469"/>
      <c r="AN95" s="469"/>
      <c r="AO95" s="469"/>
      <c r="AP95" s="469"/>
      <c r="AQ95" s="469"/>
      <c r="AR95" s="469"/>
      <c r="AS95" s="469"/>
      <c r="AT95" s="469"/>
      <c r="AU95" s="469"/>
      <c r="AV95" s="469"/>
      <c r="AW95" s="469"/>
      <c r="AX95" s="469"/>
      <c r="AY95" s="469"/>
      <c r="AZ95" s="469"/>
      <c r="BA95" s="469"/>
      <c r="BB95" s="469"/>
      <c r="BC95" s="469"/>
      <c r="BD95" s="469"/>
      <c r="BE95" s="469"/>
      <c r="BF95" s="657"/>
      <c r="BG95" s="469"/>
      <c r="BH95" s="469"/>
      <c r="BI95" s="469"/>
      <c r="BJ95" s="469"/>
      <c r="BK95" s="469"/>
      <c r="BL95" s="469"/>
      <c r="BM95" s="469"/>
      <c r="BN95" s="469"/>
      <c r="BO95" s="469"/>
      <c r="BP95" s="469"/>
      <c r="BQ95" s="469"/>
      <c r="BR95" s="469"/>
      <c r="BS95" s="659"/>
      <c r="BT95" s="547"/>
      <c r="BU95" s="547"/>
      <c r="BV95" s="547"/>
      <c r="BW95" s="547"/>
      <c r="BX95" s="547"/>
      <c r="BY95" s="547"/>
      <c r="BZ95" s="547"/>
      <c r="CA95" s="547"/>
      <c r="CB95" s="547"/>
      <c r="CC95" s="547"/>
      <c r="CD95" s="547"/>
      <c r="CE95" s="547"/>
      <c r="CF95" s="634"/>
      <c r="CG95" s="657"/>
      <c r="CH95" s="657"/>
      <c r="CI95" s="657"/>
      <c r="CJ95" s="657"/>
      <c r="CK95" s="657"/>
      <c r="CL95" s="657"/>
      <c r="CM95" s="657"/>
      <c r="CN95" s="657"/>
      <c r="CO95" s="657"/>
      <c r="CP95" s="657"/>
      <c r="CQ95" s="657"/>
      <c r="CR95" s="657"/>
      <c r="CS95" s="657"/>
      <c r="CT95" s="657"/>
      <c r="CU95" s="657"/>
      <c r="CV95" s="657"/>
      <c r="CW95" s="657"/>
      <c r="CX95" s="657"/>
      <c r="CY95" s="657"/>
      <c r="CZ95" s="657"/>
      <c r="DA95" s="657"/>
      <c r="DB95" s="657"/>
      <c r="DC95" s="657"/>
      <c r="DD95" s="657"/>
      <c r="DE95" s="657"/>
      <c r="DF95" s="657"/>
      <c r="DG95" s="657"/>
      <c r="DH95" s="547"/>
      <c r="DI95" s="547"/>
      <c r="DJ95" s="547"/>
      <c r="DK95" s="547"/>
      <c r="DL95" s="547"/>
      <c r="DM95" s="547"/>
      <c r="DN95" s="547"/>
      <c r="DO95" s="469"/>
      <c r="DP95" s="469">
        <v>1127961.43</v>
      </c>
      <c r="DQ95" s="469"/>
      <c r="DR95" s="469"/>
      <c r="DS95" s="1">
        <f t="shared" si="53"/>
        <v>1127961.43</v>
      </c>
    </row>
    <row r="96" spans="1:123" s="624" customFormat="1" x14ac:dyDescent="0.2">
      <c r="A96" s="769"/>
      <c r="B96" s="760"/>
      <c r="C96" s="769"/>
      <c r="D96" s="469" t="s">
        <v>2001</v>
      </c>
      <c r="E96" s="469"/>
      <c r="F96" s="469"/>
      <c r="G96" s="469"/>
      <c r="H96" s="617"/>
      <c r="I96" s="469"/>
      <c r="J96" s="469"/>
      <c r="K96" s="655">
        <f>K95*14/100</f>
        <v>1106000</v>
      </c>
      <c r="L96" s="656"/>
      <c r="M96" s="469"/>
      <c r="N96" s="469"/>
      <c r="O96" s="469"/>
      <c r="P96" s="469"/>
      <c r="Q96" s="469"/>
      <c r="R96" s="469"/>
      <c r="S96" s="469"/>
      <c r="T96" s="469"/>
      <c r="U96" s="469"/>
      <c r="V96" s="469"/>
      <c r="W96" s="469"/>
      <c r="X96" s="469"/>
      <c r="Y96" s="469"/>
      <c r="Z96" s="469"/>
      <c r="AA96" s="469"/>
      <c r="AB96" s="469"/>
      <c r="AC96" s="657"/>
      <c r="AD96" s="657"/>
      <c r="AE96" s="469"/>
      <c r="AF96" s="469"/>
      <c r="AG96" s="469"/>
      <c r="AH96" s="469"/>
      <c r="AI96" s="469"/>
      <c r="AJ96" s="469"/>
      <c r="AK96" s="658"/>
      <c r="AL96" s="658"/>
      <c r="AM96" s="469"/>
      <c r="AN96" s="469"/>
      <c r="AO96" s="469"/>
      <c r="AP96" s="469"/>
      <c r="AQ96" s="469"/>
      <c r="AR96" s="469"/>
      <c r="AS96" s="469"/>
      <c r="AT96" s="469"/>
      <c r="AU96" s="469"/>
      <c r="AV96" s="469"/>
      <c r="AW96" s="469"/>
      <c r="AX96" s="469"/>
      <c r="AY96" s="469"/>
      <c r="AZ96" s="469"/>
      <c r="BA96" s="469"/>
      <c r="BB96" s="469"/>
      <c r="BC96" s="469"/>
      <c r="BD96" s="469"/>
      <c r="BE96" s="469"/>
      <c r="BF96" s="657"/>
      <c r="BG96" s="469"/>
      <c r="BH96" s="469"/>
      <c r="BI96" s="469"/>
      <c r="BJ96" s="469"/>
      <c r="BK96" s="469"/>
      <c r="BL96" s="469"/>
      <c r="BM96" s="469"/>
      <c r="BN96" s="469"/>
      <c r="BO96" s="469"/>
      <c r="BP96" s="469"/>
      <c r="BQ96" s="469"/>
      <c r="BR96" s="469"/>
      <c r="BS96" s="659"/>
      <c r="BT96" s="547"/>
      <c r="BU96" s="547"/>
      <c r="BV96" s="547"/>
      <c r="BW96" s="547"/>
      <c r="BX96" s="547"/>
      <c r="BY96" s="547"/>
      <c r="BZ96" s="547"/>
      <c r="CA96" s="547"/>
      <c r="CB96" s="547"/>
      <c r="CC96" s="547"/>
      <c r="CD96" s="547"/>
      <c r="CE96" s="547"/>
      <c r="CF96" s="634"/>
      <c r="CG96" s="657"/>
      <c r="CH96" s="657"/>
      <c r="CI96" s="657"/>
      <c r="CJ96" s="657"/>
      <c r="CK96" s="657"/>
      <c r="CL96" s="657"/>
      <c r="CM96" s="657"/>
      <c r="CN96" s="657"/>
      <c r="CO96" s="657"/>
      <c r="CP96" s="657"/>
      <c r="CQ96" s="657"/>
      <c r="CR96" s="657"/>
      <c r="CS96" s="657"/>
      <c r="CT96" s="657"/>
      <c r="CU96" s="657"/>
      <c r="CV96" s="657"/>
      <c r="CW96" s="657"/>
      <c r="CX96" s="657"/>
      <c r="CY96" s="657"/>
      <c r="CZ96" s="657"/>
      <c r="DA96" s="657"/>
      <c r="DB96" s="657"/>
      <c r="DC96" s="657"/>
      <c r="DD96" s="657"/>
      <c r="DE96" s="657"/>
      <c r="DF96" s="657"/>
      <c r="DG96" s="657"/>
      <c r="DH96" s="547"/>
      <c r="DI96" s="547"/>
      <c r="DJ96" s="547">
        <v>432690.82</v>
      </c>
      <c r="DK96" s="547"/>
      <c r="DL96" s="547"/>
      <c r="DM96" s="547"/>
      <c r="DN96" s="547">
        <v>381786.03</v>
      </c>
      <c r="DO96" s="469"/>
      <c r="DP96" s="469"/>
      <c r="DQ96" s="469"/>
      <c r="DR96" s="469"/>
      <c r="DS96" s="1">
        <f t="shared" si="53"/>
        <v>814476.85000000009</v>
      </c>
    </row>
    <row r="97" spans="1:123" s="624" customFormat="1" ht="24" x14ac:dyDescent="0.2">
      <c r="A97" s="469"/>
      <c r="B97" s="469" t="s">
        <v>57</v>
      </c>
      <c r="C97" s="608" t="s">
        <v>1999</v>
      </c>
      <c r="D97" s="469" t="s">
        <v>2000</v>
      </c>
      <c r="E97" s="469"/>
      <c r="F97" s="469" t="s">
        <v>49</v>
      </c>
      <c r="G97" s="469" t="s">
        <v>284</v>
      </c>
      <c r="H97" s="617" t="s">
        <v>61</v>
      </c>
      <c r="I97" s="469"/>
      <c r="J97" s="469"/>
      <c r="K97" s="655"/>
      <c r="L97" s="656"/>
      <c r="M97" s="469"/>
      <c r="N97" s="469"/>
      <c r="O97" s="469"/>
      <c r="P97" s="469"/>
      <c r="Q97" s="469"/>
      <c r="R97" s="469"/>
      <c r="S97" s="469"/>
      <c r="T97" s="469"/>
      <c r="U97" s="469"/>
      <c r="V97" s="469"/>
      <c r="W97" s="469"/>
      <c r="X97" s="469"/>
      <c r="Y97" s="469"/>
      <c r="Z97" s="469"/>
      <c r="AA97" s="469"/>
      <c r="AB97" s="469"/>
      <c r="AC97" s="657"/>
      <c r="AD97" s="657"/>
      <c r="AE97" s="469"/>
      <c r="AF97" s="469"/>
      <c r="AG97" s="469"/>
      <c r="AH97" s="469"/>
      <c r="AI97" s="469"/>
      <c r="AJ97" s="469"/>
      <c r="AK97" s="658"/>
      <c r="AL97" s="658"/>
      <c r="AM97" s="469"/>
      <c r="AN97" s="469"/>
      <c r="AO97" s="469"/>
      <c r="AP97" s="469"/>
      <c r="AQ97" s="469"/>
      <c r="AR97" s="469"/>
      <c r="AS97" s="469"/>
      <c r="AT97" s="469"/>
      <c r="AU97" s="469"/>
      <c r="AV97" s="469"/>
      <c r="AW97" s="469"/>
      <c r="AX97" s="469"/>
      <c r="AY97" s="469"/>
      <c r="AZ97" s="469"/>
      <c r="BA97" s="469"/>
      <c r="BB97" s="469"/>
      <c r="BC97" s="469"/>
      <c r="BD97" s="469"/>
      <c r="BE97" s="469"/>
      <c r="BF97" s="657"/>
      <c r="BG97" s="469"/>
      <c r="BH97" s="469"/>
      <c r="BI97" s="469"/>
      <c r="BJ97" s="469"/>
      <c r="BK97" s="469"/>
      <c r="BL97" s="469"/>
      <c r="BM97" s="469"/>
      <c r="BN97" s="469"/>
      <c r="BO97" s="469"/>
      <c r="BP97" s="469"/>
      <c r="BQ97" s="469"/>
      <c r="BR97" s="469"/>
      <c r="BS97" s="659"/>
      <c r="BT97" s="547"/>
      <c r="BU97" s="547"/>
      <c r="BV97" s="547"/>
      <c r="BW97" s="547"/>
      <c r="BX97" s="547"/>
      <c r="BY97" s="547"/>
      <c r="BZ97" s="547"/>
      <c r="CA97" s="547"/>
      <c r="CB97" s="547"/>
      <c r="CC97" s="547"/>
      <c r="CD97" s="547"/>
      <c r="CE97" s="547"/>
      <c r="CF97" s="634"/>
      <c r="CG97" s="657"/>
      <c r="CH97" s="657"/>
      <c r="CI97" s="657"/>
      <c r="CJ97" s="657"/>
      <c r="CK97" s="657"/>
      <c r="CL97" s="657"/>
      <c r="CM97" s="657"/>
      <c r="CN97" s="657"/>
      <c r="CO97" s="657"/>
      <c r="CP97" s="657"/>
      <c r="CQ97" s="657"/>
      <c r="CR97" s="657"/>
      <c r="CS97" s="657"/>
      <c r="CT97" s="657"/>
      <c r="CU97" s="657"/>
      <c r="CV97" s="657"/>
      <c r="CW97" s="657"/>
      <c r="CX97" s="657"/>
      <c r="CY97" s="657"/>
      <c r="CZ97" s="657"/>
      <c r="DA97" s="657"/>
      <c r="DB97" s="657"/>
      <c r="DC97" s="657"/>
      <c r="DD97" s="657"/>
      <c r="DE97" s="657"/>
      <c r="DF97" s="657"/>
      <c r="DG97" s="657"/>
      <c r="DH97" s="547"/>
      <c r="DI97" s="547"/>
      <c r="DJ97" s="547">
        <v>690265.54</v>
      </c>
      <c r="DK97" s="547"/>
      <c r="DL97" s="547"/>
      <c r="DM97" s="547"/>
      <c r="DN97" s="547"/>
      <c r="DO97" s="469"/>
      <c r="DP97" s="469"/>
      <c r="DQ97" s="469"/>
      <c r="DR97" s="469"/>
      <c r="DS97" s="469"/>
    </row>
    <row r="98" spans="1:123" x14ac:dyDescent="0.2">
      <c r="CT98" s="231"/>
      <c r="CU98" s="231"/>
      <c r="CV98" s="231"/>
      <c r="CW98" s="231"/>
      <c r="CX98" s="231"/>
      <c r="CY98" s="231"/>
      <c r="CZ98" s="231"/>
      <c r="DA98" s="231"/>
      <c r="DB98" s="231"/>
      <c r="DC98" s="231"/>
      <c r="DD98" s="231"/>
      <c r="DE98" s="231"/>
      <c r="DF98" s="231"/>
      <c r="DG98" s="231"/>
      <c r="DH98" s="281"/>
      <c r="DI98" s="281"/>
      <c r="DJ98" s="281"/>
      <c r="DK98" s="281"/>
      <c r="DL98" s="281"/>
      <c r="DM98" s="281"/>
      <c r="DN98" s="281"/>
    </row>
    <row r="99" spans="1:123" x14ac:dyDescent="0.2">
      <c r="CT99" s="231"/>
      <c r="CU99" s="231"/>
      <c r="CV99" s="231"/>
      <c r="CW99" s="231"/>
      <c r="CX99" s="231"/>
      <c r="CY99" s="231"/>
      <c r="CZ99" s="231"/>
      <c r="DA99" s="231"/>
      <c r="DB99" s="231"/>
      <c r="DC99" s="231"/>
      <c r="DD99" s="231"/>
      <c r="DE99" s="231"/>
      <c r="DF99" s="231"/>
      <c r="DG99" s="231"/>
      <c r="DH99" s="281"/>
      <c r="DI99" s="281"/>
      <c r="DJ99" s="281"/>
      <c r="DK99" s="281"/>
      <c r="DL99" s="281"/>
      <c r="DM99" s="281"/>
      <c r="DN99" s="281"/>
    </row>
    <row r="100" spans="1:123" x14ac:dyDescent="0.2">
      <c r="CT100" s="231"/>
      <c r="CU100" s="231"/>
      <c r="CV100" s="231"/>
      <c r="CW100" s="231"/>
      <c r="CX100" s="231"/>
      <c r="CY100" s="231"/>
      <c r="CZ100" s="231"/>
      <c r="DA100" s="231"/>
      <c r="DB100" s="231"/>
      <c r="DC100" s="231"/>
      <c r="DD100" s="231"/>
      <c r="DE100" s="231"/>
      <c r="DF100" s="231"/>
      <c r="DG100" s="231"/>
      <c r="DH100" s="281"/>
      <c r="DI100" s="281"/>
      <c r="DJ100" s="281"/>
      <c r="DK100" s="281"/>
      <c r="DL100" s="281"/>
      <c r="DM100" s="281"/>
      <c r="DN100" s="281"/>
    </row>
    <row r="101" spans="1:123" x14ac:dyDescent="0.2">
      <c r="CT101" s="231"/>
      <c r="CU101" s="231"/>
      <c r="CV101" s="231"/>
      <c r="CW101" s="231"/>
      <c r="CX101" s="231"/>
      <c r="CY101" s="231"/>
      <c r="CZ101" s="231"/>
      <c r="DA101" s="231"/>
      <c r="DB101" s="231"/>
      <c r="DC101" s="231"/>
      <c r="DD101" s="231"/>
      <c r="DE101" s="231"/>
      <c r="DF101" s="231"/>
      <c r="DG101" s="231"/>
      <c r="DH101" s="281"/>
      <c r="DI101" s="281"/>
      <c r="DJ101" s="281"/>
      <c r="DK101" s="281"/>
      <c r="DL101" s="281"/>
      <c r="DM101" s="281"/>
      <c r="DN101" s="281"/>
    </row>
    <row r="102" spans="1:123" x14ac:dyDescent="0.2">
      <c r="CT102" s="231"/>
      <c r="CU102" s="231"/>
      <c r="CV102" s="231"/>
      <c r="CW102" s="231"/>
      <c r="CX102" s="231"/>
      <c r="CY102" s="231"/>
      <c r="CZ102" s="231"/>
      <c r="DA102" s="231"/>
      <c r="DB102" s="231"/>
      <c r="DC102" s="231"/>
      <c r="DD102" s="231"/>
      <c r="DE102" s="231"/>
      <c r="DF102" s="231"/>
      <c r="DG102" s="231"/>
      <c r="DH102" s="281"/>
      <c r="DI102" s="281"/>
      <c r="DJ102" s="281"/>
      <c r="DK102" s="281"/>
      <c r="DL102" s="281"/>
      <c r="DM102" s="281"/>
      <c r="DN102" s="281"/>
    </row>
    <row r="103" spans="1:123" x14ac:dyDescent="0.2">
      <c r="CT103" s="231"/>
      <c r="CU103" s="231"/>
      <c r="CV103" s="231"/>
      <c r="CW103" s="231"/>
      <c r="CX103" s="231"/>
      <c r="CY103" s="231"/>
      <c r="CZ103" s="231"/>
      <c r="DA103" s="231"/>
      <c r="DB103" s="231"/>
      <c r="DC103" s="231"/>
      <c r="DD103" s="231"/>
      <c r="DE103" s="231"/>
      <c r="DF103" s="231"/>
      <c r="DG103" s="231"/>
      <c r="DH103" s="281"/>
      <c r="DI103" s="281"/>
      <c r="DJ103" s="281"/>
      <c r="DK103" s="281"/>
      <c r="DL103" s="281"/>
      <c r="DM103" s="281"/>
      <c r="DN103" s="281"/>
    </row>
    <row r="104" spans="1:123" x14ac:dyDescent="0.2">
      <c r="CT104" s="231"/>
      <c r="CU104" s="231"/>
      <c r="CV104" s="231"/>
      <c r="CW104" s="231"/>
      <c r="CX104" s="231"/>
      <c r="CY104" s="231"/>
      <c r="CZ104" s="231"/>
      <c r="DA104" s="231"/>
      <c r="DB104" s="231"/>
      <c r="DC104" s="231"/>
      <c r="DD104" s="231"/>
      <c r="DE104" s="231"/>
      <c r="DF104" s="231"/>
      <c r="DG104" s="231"/>
      <c r="DH104" s="281"/>
      <c r="DI104" s="281"/>
      <c r="DJ104" s="281"/>
      <c r="DK104" s="281"/>
      <c r="DL104" s="281"/>
      <c r="DM104" s="281"/>
      <c r="DN104" s="281"/>
    </row>
    <row r="105" spans="1:123" x14ac:dyDescent="0.2">
      <c r="CT105" s="231"/>
      <c r="CU105" s="231"/>
      <c r="CV105" s="231"/>
      <c r="CW105" s="231"/>
      <c r="CX105" s="231"/>
      <c r="CY105" s="231"/>
      <c r="CZ105" s="231"/>
      <c r="DA105" s="231"/>
      <c r="DB105" s="231"/>
      <c r="DC105" s="231"/>
      <c r="DD105" s="231"/>
      <c r="DE105" s="231"/>
      <c r="DF105" s="231"/>
      <c r="DG105" s="231"/>
      <c r="DH105" s="281"/>
      <c r="DI105" s="281"/>
      <c r="DJ105" s="281"/>
      <c r="DK105" s="281"/>
      <c r="DL105" s="281"/>
      <c r="DM105" s="281"/>
      <c r="DN105" s="281"/>
    </row>
    <row r="106" spans="1:123" x14ac:dyDescent="0.2">
      <c r="CT106" s="231"/>
      <c r="CU106" s="231"/>
      <c r="CV106" s="231"/>
      <c r="CW106" s="231"/>
      <c r="CX106" s="231"/>
      <c r="CY106" s="231"/>
      <c r="CZ106" s="231"/>
      <c r="DA106" s="231"/>
      <c r="DB106" s="231"/>
      <c r="DC106" s="231"/>
      <c r="DD106" s="231"/>
      <c r="DE106" s="231"/>
      <c r="DF106" s="231"/>
      <c r="DG106" s="231"/>
      <c r="DH106" s="281"/>
      <c r="DI106" s="281"/>
      <c r="DJ106" s="281"/>
      <c r="DK106" s="281"/>
      <c r="DL106" s="281"/>
      <c r="DM106" s="281"/>
      <c r="DN106" s="281"/>
    </row>
    <row r="107" spans="1:123" x14ac:dyDescent="0.2">
      <c r="CT107" s="231"/>
      <c r="CU107" s="231"/>
      <c r="CV107" s="231"/>
      <c r="CW107" s="231"/>
      <c r="CX107" s="231"/>
      <c r="CY107" s="231"/>
      <c r="CZ107" s="231"/>
      <c r="DA107" s="231"/>
      <c r="DB107" s="231"/>
      <c r="DC107" s="231"/>
      <c r="DD107" s="231"/>
      <c r="DE107" s="231"/>
      <c r="DF107" s="231"/>
      <c r="DG107" s="231"/>
      <c r="DH107" s="281"/>
      <c r="DI107" s="281"/>
      <c r="DJ107" s="281"/>
      <c r="DK107" s="281"/>
      <c r="DL107" s="281"/>
      <c r="DM107" s="281"/>
      <c r="DN107" s="281"/>
    </row>
    <row r="108" spans="1:123" x14ac:dyDescent="0.2">
      <c r="CT108" s="231"/>
      <c r="CU108" s="231"/>
      <c r="CV108" s="231"/>
      <c r="CW108" s="231"/>
      <c r="CX108" s="231"/>
      <c r="CY108" s="231"/>
      <c r="CZ108" s="231"/>
      <c r="DA108" s="231"/>
      <c r="DB108" s="231"/>
      <c r="DC108" s="231"/>
      <c r="DD108" s="231"/>
      <c r="DE108" s="231"/>
      <c r="DF108" s="231"/>
      <c r="DG108" s="231"/>
      <c r="DH108" s="281"/>
      <c r="DI108" s="281"/>
      <c r="DJ108" s="281"/>
      <c r="DK108" s="281"/>
      <c r="DL108" s="281"/>
      <c r="DM108" s="281"/>
      <c r="DN108" s="281"/>
    </row>
    <row r="109" spans="1:123" x14ac:dyDescent="0.2">
      <c r="CT109" s="231"/>
      <c r="CU109" s="231"/>
      <c r="CV109" s="231"/>
      <c r="CW109" s="231"/>
      <c r="CX109" s="231"/>
      <c r="CY109" s="231"/>
      <c r="CZ109" s="231"/>
      <c r="DA109" s="231"/>
      <c r="DB109" s="231"/>
      <c r="DC109" s="231"/>
      <c r="DD109" s="231"/>
      <c r="DE109" s="231"/>
      <c r="DF109" s="231"/>
      <c r="DG109" s="231"/>
      <c r="DH109" s="281"/>
      <c r="DI109" s="281"/>
      <c r="DJ109" s="281"/>
      <c r="DK109" s="281"/>
      <c r="DL109" s="281"/>
      <c r="DM109" s="281"/>
      <c r="DN109" s="281"/>
    </row>
    <row r="110" spans="1:123" x14ac:dyDescent="0.2">
      <c r="CT110" s="231"/>
      <c r="CU110" s="231"/>
      <c r="CV110" s="231"/>
      <c r="CW110" s="231"/>
      <c r="CX110" s="231"/>
      <c r="CY110" s="231"/>
      <c r="CZ110" s="231"/>
      <c r="DA110" s="231"/>
      <c r="DB110" s="231"/>
      <c r="DC110" s="231"/>
      <c r="DD110" s="231"/>
      <c r="DE110" s="231"/>
      <c r="DF110" s="231"/>
      <c r="DG110" s="231"/>
      <c r="DH110" s="281"/>
      <c r="DI110" s="281"/>
      <c r="DJ110" s="281"/>
      <c r="DK110" s="281"/>
      <c r="DL110" s="281"/>
      <c r="DM110" s="281"/>
      <c r="DN110" s="281"/>
    </row>
    <row r="111" spans="1:123" x14ac:dyDescent="0.2">
      <c r="CT111" s="231"/>
      <c r="CU111" s="231"/>
      <c r="CV111" s="231"/>
      <c r="CW111" s="231"/>
      <c r="CX111" s="231"/>
      <c r="CY111" s="231"/>
      <c r="CZ111" s="231"/>
      <c r="DA111" s="231"/>
      <c r="DB111" s="231"/>
      <c r="DC111" s="231"/>
      <c r="DD111" s="231"/>
      <c r="DE111" s="231"/>
      <c r="DF111" s="231"/>
      <c r="DG111" s="231"/>
      <c r="DH111" s="281"/>
      <c r="DI111" s="281"/>
      <c r="DJ111" s="281"/>
      <c r="DK111" s="281"/>
      <c r="DL111" s="281"/>
      <c r="DM111" s="281"/>
      <c r="DN111" s="281"/>
    </row>
    <row r="112" spans="1:123" x14ac:dyDescent="0.2">
      <c r="CT112" s="231"/>
      <c r="CU112" s="231"/>
      <c r="CV112" s="231"/>
      <c r="CW112" s="231"/>
      <c r="CX112" s="231"/>
      <c r="CY112" s="231"/>
      <c r="CZ112" s="231"/>
      <c r="DA112" s="231"/>
      <c r="DB112" s="231"/>
      <c r="DC112" s="231"/>
      <c r="DD112" s="231"/>
      <c r="DE112" s="231"/>
      <c r="DF112" s="231"/>
      <c r="DG112" s="231"/>
      <c r="DH112" s="281"/>
      <c r="DI112" s="281"/>
      <c r="DJ112" s="281"/>
      <c r="DK112" s="281"/>
      <c r="DL112" s="281"/>
      <c r="DM112" s="281"/>
      <c r="DN112" s="281"/>
    </row>
    <row r="113" spans="98:118" x14ac:dyDescent="0.2">
      <c r="CT113" s="231"/>
      <c r="CU113" s="231"/>
      <c r="CV113" s="231"/>
      <c r="CW113" s="231"/>
      <c r="CX113" s="231"/>
      <c r="CY113" s="231"/>
      <c r="CZ113" s="231"/>
      <c r="DA113" s="231"/>
      <c r="DB113" s="231"/>
      <c r="DC113" s="231"/>
      <c r="DD113" s="231"/>
      <c r="DE113" s="231"/>
      <c r="DF113" s="231"/>
      <c r="DG113" s="231"/>
      <c r="DH113" s="281"/>
      <c r="DI113" s="281"/>
      <c r="DJ113" s="281"/>
      <c r="DK113" s="281"/>
      <c r="DL113" s="281"/>
      <c r="DM113" s="281"/>
      <c r="DN113" s="281"/>
    </row>
    <row r="114" spans="98:118" x14ac:dyDescent="0.2">
      <c r="CT114" s="231"/>
      <c r="CU114" s="231"/>
      <c r="CV114" s="231"/>
      <c r="CW114" s="231"/>
      <c r="CX114" s="231"/>
      <c r="CY114" s="231"/>
      <c r="CZ114" s="231"/>
      <c r="DA114" s="231"/>
      <c r="DB114" s="231"/>
      <c r="DC114" s="231"/>
      <c r="DD114" s="231"/>
      <c r="DE114" s="231"/>
      <c r="DF114" s="231"/>
      <c r="DG114" s="231"/>
      <c r="DH114" s="281"/>
      <c r="DI114" s="281"/>
      <c r="DJ114" s="281"/>
      <c r="DK114" s="281"/>
      <c r="DL114" s="281"/>
      <c r="DM114" s="281"/>
      <c r="DN114" s="281"/>
    </row>
    <row r="115" spans="98:118" x14ac:dyDescent="0.2">
      <c r="CT115" s="231"/>
      <c r="CU115" s="231"/>
      <c r="CV115" s="231"/>
      <c r="CW115" s="231"/>
      <c r="CX115" s="231"/>
      <c r="CY115" s="231"/>
      <c r="CZ115" s="231"/>
      <c r="DA115" s="231"/>
      <c r="DB115" s="231"/>
      <c r="DC115" s="231"/>
      <c r="DD115" s="231"/>
      <c r="DE115" s="231"/>
      <c r="DF115" s="231"/>
      <c r="DG115" s="231"/>
      <c r="DH115" s="281"/>
      <c r="DI115" s="281"/>
      <c r="DJ115" s="281"/>
      <c r="DK115" s="281"/>
      <c r="DL115" s="281"/>
      <c r="DM115" s="281"/>
      <c r="DN115" s="281"/>
    </row>
    <row r="116" spans="98:118" x14ac:dyDescent="0.2">
      <c r="CT116" s="231"/>
      <c r="CU116" s="231"/>
      <c r="CV116" s="231"/>
      <c r="CW116" s="231"/>
      <c r="CX116" s="231"/>
      <c r="CY116" s="231"/>
      <c r="CZ116" s="231"/>
      <c r="DA116" s="231"/>
      <c r="DB116" s="231"/>
      <c r="DC116" s="231"/>
      <c r="DD116" s="231"/>
      <c r="DE116" s="231"/>
      <c r="DF116" s="231"/>
      <c r="DG116" s="231"/>
      <c r="DH116" s="281"/>
      <c r="DI116" s="281"/>
      <c r="DJ116" s="281"/>
      <c r="DK116" s="281"/>
      <c r="DL116" s="281"/>
      <c r="DM116" s="281"/>
      <c r="DN116" s="281"/>
    </row>
    <row r="117" spans="98:118" x14ac:dyDescent="0.2">
      <c r="CT117" s="231"/>
      <c r="CU117" s="231"/>
      <c r="CV117" s="231"/>
      <c r="CW117" s="231"/>
      <c r="CX117" s="231"/>
      <c r="CY117" s="231"/>
      <c r="CZ117" s="231"/>
      <c r="DA117" s="231"/>
      <c r="DB117" s="231"/>
      <c r="DC117" s="231"/>
      <c r="DD117" s="231"/>
      <c r="DE117" s="231"/>
      <c r="DF117" s="231"/>
      <c r="DG117" s="231"/>
      <c r="DH117" s="281"/>
      <c r="DI117" s="281"/>
      <c r="DJ117" s="281"/>
      <c r="DK117" s="281"/>
      <c r="DL117" s="281"/>
      <c r="DM117" s="281"/>
      <c r="DN117" s="281"/>
    </row>
    <row r="118" spans="98:118" x14ac:dyDescent="0.2">
      <c r="CT118" s="231"/>
      <c r="CU118" s="231"/>
      <c r="CV118" s="231"/>
      <c r="CW118" s="231"/>
      <c r="CX118" s="231"/>
      <c r="CY118" s="231"/>
      <c r="CZ118" s="231"/>
      <c r="DA118" s="231"/>
      <c r="DB118" s="231"/>
      <c r="DC118" s="231"/>
      <c r="DD118" s="231"/>
      <c r="DE118" s="231"/>
      <c r="DF118" s="231"/>
      <c r="DG118" s="231"/>
      <c r="DH118" s="281"/>
      <c r="DI118" s="281"/>
      <c r="DJ118" s="281"/>
      <c r="DK118" s="281"/>
      <c r="DL118" s="281"/>
      <c r="DM118" s="281"/>
      <c r="DN118" s="281"/>
    </row>
    <row r="119" spans="98:118" x14ac:dyDescent="0.2">
      <c r="CT119" s="231"/>
      <c r="CU119" s="231"/>
      <c r="CV119" s="231"/>
      <c r="CW119" s="231"/>
      <c r="CX119" s="231"/>
      <c r="CY119" s="231"/>
      <c r="CZ119" s="231"/>
      <c r="DA119" s="231"/>
      <c r="DB119" s="231"/>
      <c r="DC119" s="231"/>
      <c r="DD119" s="231"/>
      <c r="DE119" s="231"/>
      <c r="DF119" s="231"/>
      <c r="DG119" s="231"/>
      <c r="DH119" s="281"/>
      <c r="DI119" s="281"/>
      <c r="DJ119" s="281"/>
      <c r="DK119" s="281"/>
      <c r="DL119" s="281"/>
      <c r="DM119" s="281"/>
      <c r="DN119" s="281"/>
    </row>
    <row r="120" spans="98:118" x14ac:dyDescent="0.2">
      <c r="CT120" s="231"/>
      <c r="CU120" s="231"/>
      <c r="CV120" s="231"/>
      <c r="CW120" s="231"/>
      <c r="CX120" s="231"/>
      <c r="CY120" s="231"/>
      <c r="CZ120" s="231"/>
      <c r="DA120" s="231"/>
      <c r="DB120" s="231"/>
      <c r="DC120" s="231"/>
      <c r="DD120" s="231"/>
      <c r="DE120" s="231"/>
      <c r="DF120" s="231"/>
      <c r="DG120" s="231"/>
      <c r="DH120" s="281"/>
      <c r="DI120" s="281"/>
      <c r="DJ120" s="281"/>
      <c r="DK120" s="281"/>
      <c r="DL120" s="281"/>
      <c r="DM120" s="281"/>
      <c r="DN120" s="281"/>
    </row>
    <row r="121" spans="98:118" x14ac:dyDescent="0.2">
      <c r="CT121" s="231"/>
      <c r="CU121" s="231"/>
      <c r="CV121" s="231"/>
      <c r="CW121" s="231"/>
      <c r="CX121" s="231"/>
      <c r="CY121" s="231"/>
      <c r="CZ121" s="231"/>
      <c r="DA121" s="231"/>
      <c r="DB121" s="231"/>
      <c r="DC121" s="231"/>
      <c r="DD121" s="231"/>
      <c r="DE121" s="231"/>
      <c r="DF121" s="231"/>
      <c r="DG121" s="231"/>
      <c r="DH121" s="281"/>
      <c r="DI121" s="281"/>
      <c r="DJ121" s="281"/>
      <c r="DK121" s="281"/>
      <c r="DL121" s="281"/>
      <c r="DM121" s="281"/>
      <c r="DN121" s="281"/>
    </row>
    <row r="122" spans="98:118" x14ac:dyDescent="0.2">
      <c r="CT122" s="231"/>
      <c r="CU122" s="231"/>
      <c r="CV122" s="231"/>
      <c r="CW122" s="231"/>
      <c r="CX122" s="231"/>
      <c r="CY122" s="231"/>
      <c r="CZ122" s="231"/>
      <c r="DA122" s="231"/>
      <c r="DB122" s="231"/>
      <c r="DC122" s="231"/>
      <c r="DD122" s="231"/>
      <c r="DE122" s="231"/>
      <c r="DF122" s="231"/>
      <c r="DG122" s="231"/>
      <c r="DH122" s="281"/>
      <c r="DI122" s="281"/>
      <c r="DJ122" s="281"/>
      <c r="DK122" s="281"/>
      <c r="DL122" s="281"/>
      <c r="DM122" s="281"/>
      <c r="DN122" s="281"/>
    </row>
    <row r="123" spans="98:118" x14ac:dyDescent="0.2">
      <c r="CT123" s="231"/>
      <c r="CU123" s="231"/>
      <c r="CV123" s="231"/>
      <c r="CW123" s="231"/>
      <c r="CX123" s="231"/>
      <c r="CY123" s="231"/>
      <c r="CZ123" s="231"/>
      <c r="DA123" s="231"/>
      <c r="DB123" s="231"/>
      <c r="DC123" s="231"/>
      <c r="DD123" s="231"/>
      <c r="DE123" s="231"/>
      <c r="DF123" s="231"/>
      <c r="DG123" s="231"/>
      <c r="DH123" s="281"/>
      <c r="DI123" s="281"/>
      <c r="DJ123" s="281"/>
      <c r="DK123" s="281"/>
      <c r="DL123" s="281"/>
      <c r="DM123" s="281"/>
      <c r="DN123" s="281"/>
    </row>
    <row r="124" spans="98:118" x14ac:dyDescent="0.2">
      <c r="CT124" s="231"/>
      <c r="CU124" s="231"/>
      <c r="CV124" s="231"/>
      <c r="CW124" s="231"/>
      <c r="CX124" s="231"/>
      <c r="CY124" s="231"/>
      <c r="CZ124" s="231"/>
      <c r="DA124" s="231"/>
      <c r="DB124" s="231"/>
      <c r="DC124" s="231"/>
      <c r="DD124" s="231"/>
      <c r="DE124" s="231"/>
      <c r="DF124" s="231"/>
      <c r="DG124" s="231"/>
      <c r="DH124" s="281"/>
      <c r="DI124" s="281"/>
      <c r="DJ124" s="281"/>
      <c r="DK124" s="281"/>
      <c r="DL124" s="281"/>
      <c r="DM124" s="281"/>
      <c r="DN124" s="281"/>
    </row>
    <row r="125" spans="98:118" x14ac:dyDescent="0.2">
      <c r="CT125" s="231"/>
      <c r="CU125" s="231"/>
      <c r="CV125" s="231"/>
      <c r="CW125" s="231"/>
      <c r="CX125" s="231"/>
      <c r="CY125" s="231"/>
      <c r="CZ125" s="231"/>
      <c r="DA125" s="231"/>
      <c r="DB125" s="231"/>
      <c r="DC125" s="231"/>
      <c r="DD125" s="231"/>
      <c r="DE125" s="231"/>
      <c r="DF125" s="231"/>
      <c r="DG125" s="231"/>
      <c r="DH125" s="281"/>
      <c r="DI125" s="281"/>
      <c r="DJ125" s="281"/>
      <c r="DK125" s="281"/>
      <c r="DL125" s="281"/>
      <c r="DM125" s="281"/>
      <c r="DN125" s="281"/>
    </row>
    <row r="126" spans="98:118" x14ac:dyDescent="0.2">
      <c r="CT126" s="231"/>
      <c r="CU126" s="231"/>
      <c r="CV126" s="231"/>
      <c r="CW126" s="231"/>
      <c r="CX126" s="231"/>
      <c r="CY126" s="231"/>
      <c r="CZ126" s="231"/>
      <c r="DA126" s="231"/>
      <c r="DB126" s="231"/>
      <c r="DC126" s="231"/>
      <c r="DD126" s="231"/>
      <c r="DE126" s="231"/>
      <c r="DF126" s="231"/>
      <c r="DG126" s="231"/>
      <c r="DH126" s="281"/>
      <c r="DI126" s="281"/>
      <c r="DJ126" s="281"/>
      <c r="DK126" s="281"/>
      <c r="DL126" s="281"/>
      <c r="DM126" s="281"/>
      <c r="DN126" s="281"/>
    </row>
    <row r="127" spans="98:118" x14ac:dyDescent="0.2">
      <c r="CT127" s="231"/>
      <c r="CU127" s="231"/>
      <c r="CV127" s="231"/>
      <c r="CW127" s="231"/>
      <c r="CX127" s="231"/>
      <c r="CY127" s="231"/>
      <c r="CZ127" s="231"/>
      <c r="DA127" s="231"/>
      <c r="DB127" s="231"/>
      <c r="DC127" s="231"/>
      <c r="DD127" s="231"/>
      <c r="DE127" s="231"/>
      <c r="DF127" s="231"/>
      <c r="DG127" s="231"/>
      <c r="DH127" s="281"/>
      <c r="DI127" s="281"/>
      <c r="DJ127" s="281"/>
      <c r="DK127" s="281"/>
      <c r="DL127" s="281"/>
      <c r="DM127" s="281"/>
      <c r="DN127" s="281"/>
    </row>
  </sheetData>
  <mergeCells count="201">
    <mergeCell ref="C78:C79"/>
    <mergeCell ref="A80:A81"/>
    <mergeCell ref="J76:J77"/>
    <mergeCell ref="I67:I68"/>
    <mergeCell ref="B89:B90"/>
    <mergeCell ref="A89:A90"/>
    <mergeCell ref="B55:B58"/>
    <mergeCell ref="A91:A92"/>
    <mergeCell ref="B91:B92"/>
    <mergeCell ref="C91:C92"/>
    <mergeCell ref="B95:B96"/>
    <mergeCell ref="A95:A96"/>
    <mergeCell ref="C95:C96"/>
    <mergeCell ref="C93:C94"/>
    <mergeCell ref="B93:B94"/>
    <mergeCell ref="A93:A94"/>
    <mergeCell ref="A86:A87"/>
    <mergeCell ref="B86:B87"/>
    <mergeCell ref="A84:A85"/>
    <mergeCell ref="B84:B85"/>
    <mergeCell ref="C84:C85"/>
    <mergeCell ref="C86:C87"/>
    <mergeCell ref="C89:C90"/>
    <mergeCell ref="A76:A77"/>
    <mergeCell ref="A78:A79"/>
    <mergeCell ref="B78:B79"/>
    <mergeCell ref="H76:H77"/>
    <mergeCell ref="H78:H79"/>
    <mergeCell ref="H80:H81"/>
    <mergeCell ref="I76:I77"/>
    <mergeCell ref="I78:I79"/>
    <mergeCell ref="I80:I81"/>
    <mergeCell ref="F59:F60"/>
    <mergeCell ref="F61:F62"/>
    <mergeCell ref="F63:F64"/>
    <mergeCell ref="F65:F66"/>
    <mergeCell ref="F72:F73"/>
    <mergeCell ref="G65:G66"/>
    <mergeCell ref="B80:B81"/>
    <mergeCell ref="C80:C81"/>
    <mergeCell ref="A72:A73"/>
    <mergeCell ref="A74:A75"/>
    <mergeCell ref="B72:B73"/>
    <mergeCell ref="B74:B75"/>
    <mergeCell ref="B76:B77"/>
    <mergeCell ref="C76:C77"/>
    <mergeCell ref="J74:J75"/>
    <mergeCell ref="H74:H75"/>
    <mergeCell ref="J72:J73"/>
    <mergeCell ref="I74:I75"/>
    <mergeCell ref="F74:F75"/>
    <mergeCell ref="G74:G75"/>
    <mergeCell ref="C74:C75"/>
    <mergeCell ref="I72:I73"/>
    <mergeCell ref="F76:F77"/>
    <mergeCell ref="J78:J79"/>
    <mergeCell ref="J80:J81"/>
    <mergeCell ref="F78:F79"/>
    <mergeCell ref="F80:F81"/>
    <mergeCell ref="G76:G77"/>
    <mergeCell ref="G78:G79"/>
    <mergeCell ref="G80:G81"/>
    <mergeCell ref="AS12:AS16"/>
    <mergeCell ref="AL6:AL10"/>
    <mergeCell ref="AL12:AL16"/>
    <mergeCell ref="CG1:CS1"/>
    <mergeCell ref="AS35:AS36"/>
    <mergeCell ref="AS25:AS26"/>
    <mergeCell ref="AS28:AS31"/>
    <mergeCell ref="AS32:AS33"/>
    <mergeCell ref="AS23:AS24"/>
    <mergeCell ref="BT1:CF1"/>
    <mergeCell ref="A6:A11"/>
    <mergeCell ref="B6:B11"/>
    <mergeCell ref="C6:C11"/>
    <mergeCell ref="L1:O1"/>
    <mergeCell ref="P1:S1"/>
    <mergeCell ref="T1:W1"/>
    <mergeCell ref="AT1:BF1"/>
    <mergeCell ref="BG1:BS1"/>
    <mergeCell ref="X1:AA1"/>
    <mergeCell ref="F6:F11"/>
    <mergeCell ref="G6:G11"/>
    <mergeCell ref="H6:H11"/>
    <mergeCell ref="AS6:AS10"/>
    <mergeCell ref="A23:A24"/>
    <mergeCell ref="B23:B24"/>
    <mergeCell ref="C23:C24"/>
    <mergeCell ref="G23:G24"/>
    <mergeCell ref="H23:H24"/>
    <mergeCell ref="A32:A34"/>
    <mergeCell ref="B32:B34"/>
    <mergeCell ref="C32:C34"/>
    <mergeCell ref="A12:A16"/>
    <mergeCell ref="B12:B16"/>
    <mergeCell ref="C12:C16"/>
    <mergeCell ref="G12:G16"/>
    <mergeCell ref="H12:H16"/>
    <mergeCell ref="B28:B31"/>
    <mergeCell ref="C28:C31"/>
    <mergeCell ref="G28:G31"/>
    <mergeCell ref="H28:H31"/>
    <mergeCell ref="G32:G33"/>
    <mergeCell ref="H32:H33"/>
    <mergeCell ref="C35:C36"/>
    <mergeCell ref="G35:G36"/>
    <mergeCell ref="H35:H36"/>
    <mergeCell ref="C38:C39"/>
    <mergeCell ref="B38:B39"/>
    <mergeCell ref="C52:C54"/>
    <mergeCell ref="B52:B54"/>
    <mergeCell ref="A25:A27"/>
    <mergeCell ref="B25:B27"/>
    <mergeCell ref="C25:C27"/>
    <mergeCell ref="A28:A31"/>
    <mergeCell ref="A35:A36"/>
    <mergeCell ref="J65:J66"/>
    <mergeCell ref="J67:J68"/>
    <mergeCell ref="J70:J71"/>
    <mergeCell ref="G59:G60"/>
    <mergeCell ref="G61:G62"/>
    <mergeCell ref="A65:A66"/>
    <mergeCell ref="A63:A64"/>
    <mergeCell ref="A67:A69"/>
    <mergeCell ref="B67:B69"/>
    <mergeCell ref="G67:G68"/>
    <mergeCell ref="C67:C69"/>
    <mergeCell ref="H61:H62"/>
    <mergeCell ref="H63:H64"/>
    <mergeCell ref="H65:H66"/>
    <mergeCell ref="J59:J60"/>
    <mergeCell ref="B59:B60"/>
    <mergeCell ref="B61:B62"/>
    <mergeCell ref="J61:J62"/>
    <mergeCell ref="J63:J64"/>
    <mergeCell ref="I70:I71"/>
    <mergeCell ref="I59:I60"/>
    <mergeCell ref="I61:I62"/>
    <mergeCell ref="I63:I64"/>
    <mergeCell ref="I65:I66"/>
    <mergeCell ref="A3:A4"/>
    <mergeCell ref="B3:B4"/>
    <mergeCell ref="C3:C4"/>
    <mergeCell ref="H72:H73"/>
    <mergeCell ref="G70:G71"/>
    <mergeCell ref="G72:G73"/>
    <mergeCell ref="C70:C71"/>
    <mergeCell ref="C72:C73"/>
    <mergeCell ref="H67:H68"/>
    <mergeCell ref="H70:H71"/>
    <mergeCell ref="G63:G64"/>
    <mergeCell ref="F67:F68"/>
    <mergeCell ref="F70:F71"/>
    <mergeCell ref="C65:C66"/>
    <mergeCell ref="C63:C64"/>
    <mergeCell ref="B35:B36"/>
    <mergeCell ref="C55:C58"/>
    <mergeCell ref="F52:F54"/>
    <mergeCell ref="G52:G54"/>
    <mergeCell ref="H52:H54"/>
    <mergeCell ref="B50:B51"/>
    <mergeCell ref="G25:G26"/>
    <mergeCell ref="H25:H26"/>
    <mergeCell ref="H59:H60"/>
    <mergeCell ref="A38:A39"/>
    <mergeCell ref="A46:A47"/>
    <mergeCell ref="B46:B47"/>
    <mergeCell ref="C59:C60"/>
    <mergeCell ref="C61:C62"/>
    <mergeCell ref="A59:A60"/>
    <mergeCell ref="A61:A62"/>
    <mergeCell ref="A70:A71"/>
    <mergeCell ref="B70:B71"/>
    <mergeCell ref="B65:B66"/>
    <mergeCell ref="B63:B64"/>
    <mergeCell ref="A40:A41"/>
    <mergeCell ref="B40:B41"/>
    <mergeCell ref="C40:C41"/>
    <mergeCell ref="C46:C47"/>
    <mergeCell ref="A48:A49"/>
    <mergeCell ref="A50:A51"/>
    <mergeCell ref="A42:A43"/>
    <mergeCell ref="B42:B43"/>
    <mergeCell ref="C42:C43"/>
    <mergeCell ref="B48:B49"/>
    <mergeCell ref="C48:C49"/>
    <mergeCell ref="C50:C51"/>
    <mergeCell ref="A52:A54"/>
    <mergeCell ref="A55:A58"/>
    <mergeCell ref="J52:J54"/>
    <mergeCell ref="F55:F58"/>
    <mergeCell ref="G55:G58"/>
    <mergeCell ref="H55:H58"/>
    <mergeCell ref="I55:I58"/>
    <mergeCell ref="J55:J58"/>
    <mergeCell ref="F50:F51"/>
    <mergeCell ref="G50:G51"/>
    <mergeCell ref="H50:H51"/>
    <mergeCell ref="I50:I51"/>
    <mergeCell ref="J50:J51"/>
    <mergeCell ref="I52:I54"/>
  </mergeCells>
  <phoneticPr fontId="16" type="noConversion"/>
  <pageMargins left="0.7" right="0.7" top="0.75" bottom="0.75" header="0.3" footer="0.3"/>
  <pageSetup paperSize="8" scale="10" fitToHeight="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E0C58-926A-4599-9418-67BEDA18636D}">
  <sheetPr>
    <pageSetUpPr fitToPage="1"/>
  </sheetPr>
  <dimension ref="A1:DU531"/>
  <sheetViews>
    <sheetView tabSelected="1" zoomScale="85" zoomScaleNormal="85" workbookViewId="0">
      <pane ySplit="2" topLeftCell="A3" activePane="bottomLeft" state="frozen"/>
      <selection activeCell="C6" sqref="C6:C11"/>
      <selection pane="bottomLeft" activeCell="A5" sqref="A5:A6"/>
    </sheetView>
  </sheetViews>
  <sheetFormatPr defaultColWidth="9.140625" defaultRowHeight="12" x14ac:dyDescent="0.2"/>
  <cols>
    <col min="1" max="1" width="18.140625" style="19" customWidth="1"/>
    <col min="2" max="2" width="27" style="19" customWidth="1"/>
    <col min="3" max="3" width="81.85546875" style="19" customWidth="1"/>
    <col min="4" max="4" width="70" style="19" customWidth="1"/>
    <col min="5" max="5" width="38.85546875" style="19" customWidth="1"/>
    <col min="6" max="6" width="13.42578125" style="19" customWidth="1"/>
    <col min="7" max="7" width="26.5703125" style="19" customWidth="1"/>
    <col min="8" max="8" width="26" style="19" customWidth="1"/>
    <col min="9" max="9" width="58.85546875" style="19" customWidth="1"/>
    <col min="10" max="10" width="19.5703125" style="38" customWidth="1"/>
    <col min="11" max="11" width="21.42578125" style="38" customWidth="1"/>
    <col min="12" max="12" width="26.7109375" style="201" customWidth="1"/>
    <col min="13" max="23" width="24.85546875" style="563" hidden="1" customWidth="1"/>
    <col min="24" max="26" width="27.140625" style="563" hidden="1" customWidth="1"/>
    <col min="27" max="31" width="27.140625" style="563" customWidth="1"/>
    <col min="32" max="36" width="21" style="563" customWidth="1"/>
    <col min="37" max="37" width="13.42578125" style="38" customWidth="1"/>
    <col min="38" max="39" width="11.140625" style="38" customWidth="1"/>
    <col min="40" max="40" width="18" style="38" customWidth="1"/>
    <col min="41" max="41" width="12" style="38" customWidth="1"/>
    <col min="42" max="42" width="14.85546875" style="38" customWidth="1"/>
    <col min="43" max="43" width="14.140625" style="38" customWidth="1"/>
    <col min="44" max="44" width="10.42578125" style="38" customWidth="1"/>
    <col min="45" max="45" width="12.28515625" style="38" customWidth="1"/>
    <col min="46" max="46" width="64" style="19" customWidth="1"/>
    <col min="47" max="47" width="13.140625" style="142" hidden="1" customWidth="1"/>
    <col min="48" max="48" width="15" style="142" hidden="1" customWidth="1"/>
    <col min="49" max="49" width="18.5703125" style="142" hidden="1" customWidth="1"/>
    <col min="50" max="50" width="15.85546875" style="142" hidden="1" customWidth="1"/>
    <col min="51" max="51" width="18.28515625" style="142" hidden="1" customWidth="1"/>
    <col min="52" max="52" width="18" style="142" hidden="1" customWidth="1"/>
    <col min="53" max="53" width="15.7109375" style="142" hidden="1" customWidth="1"/>
    <col min="54" max="54" width="16.7109375" style="142" hidden="1" customWidth="1"/>
    <col min="55" max="55" width="14.5703125" style="142" hidden="1" customWidth="1"/>
    <col min="56" max="56" width="13.140625" style="142" hidden="1" customWidth="1"/>
    <col min="57" max="57" width="13" style="142" hidden="1" customWidth="1"/>
    <col min="58" max="58" width="13.140625" style="142" hidden="1" customWidth="1"/>
    <col min="59" max="59" width="14.85546875" style="653" hidden="1" customWidth="1"/>
    <col min="60" max="60" width="13.140625" style="142" hidden="1" customWidth="1"/>
    <col min="61" max="61" width="15" style="142" hidden="1" customWidth="1"/>
    <col min="62" max="62" width="18.5703125" style="142" hidden="1" customWidth="1"/>
    <col min="63" max="63" width="15.85546875" style="142" hidden="1" customWidth="1"/>
    <col min="64" max="64" width="18.28515625" style="142" hidden="1" customWidth="1"/>
    <col min="65" max="65" width="18" style="142" hidden="1" customWidth="1"/>
    <col min="66" max="66" width="15.7109375" style="142" hidden="1" customWidth="1"/>
    <col min="67" max="67" width="16.7109375" style="142" hidden="1" customWidth="1"/>
    <col min="68" max="68" width="14.5703125" style="142" hidden="1" customWidth="1"/>
    <col min="69" max="71" width="13.140625" style="142" hidden="1" customWidth="1"/>
    <col min="72" max="72" width="14.85546875" style="142" hidden="1" customWidth="1"/>
    <col min="73" max="73" width="12.42578125" style="142" hidden="1" customWidth="1"/>
    <col min="74" max="74" width="15" style="142" hidden="1" customWidth="1"/>
    <col min="75" max="75" width="18.5703125" style="142" hidden="1" customWidth="1"/>
    <col min="76" max="76" width="15.85546875" style="142" hidden="1" customWidth="1"/>
    <col min="77" max="77" width="18.28515625" style="142" hidden="1" customWidth="1"/>
    <col min="78" max="78" width="18" style="142" hidden="1" customWidth="1"/>
    <col min="79" max="79" width="15.7109375" style="142" hidden="1" customWidth="1"/>
    <col min="80" max="80" width="16.7109375" style="142" hidden="1" customWidth="1"/>
    <col min="81" max="81" width="14.5703125" style="142" hidden="1" customWidth="1"/>
    <col min="82" max="82" width="13.140625" style="142" hidden="1" customWidth="1"/>
    <col min="83" max="84" width="13" style="142" hidden="1" customWidth="1"/>
    <col min="85" max="85" width="12" style="142" hidden="1" customWidth="1"/>
    <col min="86" max="86" width="13.7109375" style="19" hidden="1" customWidth="1"/>
    <col min="87" max="87" width="11.7109375" style="231" hidden="1" customWidth="1"/>
    <col min="88" max="88" width="15" style="19" hidden="1" customWidth="1"/>
    <col min="89" max="89" width="12.7109375" style="19" hidden="1" customWidth="1"/>
    <col min="90" max="90" width="14.7109375" style="19" hidden="1" customWidth="1"/>
    <col min="91" max="91" width="11.28515625" style="19" hidden="1" customWidth="1"/>
    <col min="92" max="92" width="12.28515625" style="19" hidden="1" customWidth="1"/>
    <col min="93" max="93" width="13.28515625" style="19" hidden="1" customWidth="1"/>
    <col min="94" max="97" width="11.28515625" style="19" hidden="1" customWidth="1"/>
    <col min="98" max="98" width="12.28515625" style="19" hidden="1" customWidth="1"/>
    <col min="99" max="105" width="9.140625" style="19" hidden="1" customWidth="1"/>
    <col min="106" max="106" width="11.5703125" style="19" hidden="1" customWidth="1"/>
    <col min="107" max="108" width="9.140625" style="19" hidden="1" customWidth="1"/>
    <col min="109" max="109" width="11.5703125" style="19" hidden="1" customWidth="1"/>
    <col min="110" max="111" width="9.140625" style="19" hidden="1" customWidth="1"/>
    <col min="112" max="16384" width="9.140625" style="19"/>
  </cols>
  <sheetData>
    <row r="1" spans="1:125" ht="12.75" thickBot="1" x14ac:dyDescent="0.25">
      <c r="M1" s="805" t="s">
        <v>0</v>
      </c>
      <c r="N1" s="806"/>
      <c r="O1" s="806"/>
      <c r="P1" s="807"/>
      <c r="Q1" s="808" t="s">
        <v>1</v>
      </c>
      <c r="R1" s="809"/>
      <c r="S1" s="809"/>
      <c r="T1" s="810"/>
      <c r="U1" s="808" t="s">
        <v>2</v>
      </c>
      <c r="V1" s="809"/>
      <c r="W1" s="809"/>
      <c r="X1" s="810"/>
      <c r="Y1" s="803" t="s">
        <v>1329</v>
      </c>
      <c r="Z1" s="804"/>
      <c r="AA1" s="804"/>
      <c r="AB1" s="804"/>
      <c r="AC1" s="361"/>
      <c r="AD1" s="361"/>
      <c r="AE1" s="361"/>
      <c r="AF1" s="361"/>
      <c r="AG1" s="361"/>
      <c r="AH1" s="361"/>
      <c r="AI1" s="361"/>
      <c r="AJ1" s="361"/>
      <c r="AK1" s="173"/>
      <c r="AL1" s="46"/>
      <c r="AM1" s="46"/>
      <c r="AN1" s="46"/>
      <c r="AO1" s="46"/>
      <c r="AP1" s="46"/>
      <c r="AQ1" s="46"/>
      <c r="AR1" s="46"/>
      <c r="AS1" s="46"/>
      <c r="AT1" s="1"/>
      <c r="AU1" s="800" t="s">
        <v>0</v>
      </c>
      <c r="AV1" s="801"/>
      <c r="AW1" s="801"/>
      <c r="AX1" s="801"/>
      <c r="AY1" s="801"/>
      <c r="AZ1" s="801"/>
      <c r="BA1" s="801"/>
      <c r="BB1" s="801"/>
      <c r="BC1" s="801"/>
      <c r="BD1" s="801"/>
      <c r="BE1" s="801"/>
      <c r="BF1" s="801"/>
      <c r="BG1" s="801"/>
      <c r="BH1" s="799" t="s">
        <v>1</v>
      </c>
      <c r="BI1" s="799"/>
      <c r="BJ1" s="799"/>
      <c r="BK1" s="799"/>
      <c r="BL1" s="799"/>
      <c r="BM1" s="799"/>
      <c r="BN1" s="799"/>
      <c r="BO1" s="799"/>
      <c r="BP1" s="799"/>
      <c r="BQ1" s="799"/>
      <c r="BR1" s="799"/>
      <c r="BS1" s="799"/>
      <c r="BT1" s="799"/>
      <c r="BU1" s="799" t="s">
        <v>2</v>
      </c>
      <c r="BV1" s="799"/>
      <c r="BW1" s="799"/>
      <c r="BX1" s="799"/>
      <c r="BY1" s="799"/>
      <c r="BZ1" s="799"/>
      <c r="CA1" s="799"/>
      <c r="CB1" s="799"/>
      <c r="CC1" s="799"/>
      <c r="CD1" s="799"/>
      <c r="CE1" s="799"/>
      <c r="CF1" s="799"/>
      <c r="CG1" s="799"/>
      <c r="CH1" s="802" t="s">
        <v>1329</v>
      </c>
      <c r="CI1" s="802"/>
      <c r="CJ1" s="802"/>
      <c r="CK1" s="802"/>
      <c r="CL1" s="802"/>
      <c r="CM1" s="802"/>
      <c r="CN1" s="802"/>
      <c r="CO1" s="802"/>
      <c r="CP1" s="802"/>
      <c r="CQ1" s="802"/>
      <c r="CR1" s="802"/>
      <c r="CS1" s="802"/>
      <c r="CT1" s="802"/>
      <c r="DA1" s="134" t="s">
        <v>1522</v>
      </c>
      <c r="DN1" s="134" t="s">
        <v>1901</v>
      </c>
    </row>
    <row r="2" spans="1:125" ht="60.75" thickBot="1" x14ac:dyDescent="0.25">
      <c r="A2" s="71" t="s">
        <v>3</v>
      </c>
      <c r="B2" s="72" t="s">
        <v>4</v>
      </c>
      <c r="C2" s="72" t="s">
        <v>5</v>
      </c>
      <c r="D2" s="72" t="s">
        <v>6</v>
      </c>
      <c r="E2" s="72" t="s">
        <v>1881</v>
      </c>
      <c r="F2" s="72" t="s">
        <v>7</v>
      </c>
      <c r="G2" s="72" t="s">
        <v>8</v>
      </c>
      <c r="H2" s="72" t="s">
        <v>9</v>
      </c>
      <c r="I2" s="72" t="s">
        <v>10</v>
      </c>
      <c r="J2" s="73" t="s">
        <v>11</v>
      </c>
      <c r="K2" s="73" t="s">
        <v>12</v>
      </c>
      <c r="L2" s="193" t="s">
        <v>1316</v>
      </c>
      <c r="M2" s="146" t="s">
        <v>1319</v>
      </c>
      <c r="N2" s="88" t="s">
        <v>1318</v>
      </c>
      <c r="O2" s="88" t="s">
        <v>1317</v>
      </c>
      <c r="P2" s="147" t="s">
        <v>1315</v>
      </c>
      <c r="Q2" s="75" t="s">
        <v>1320</v>
      </c>
      <c r="R2" s="74" t="s">
        <v>1321</v>
      </c>
      <c r="S2" s="74" t="s">
        <v>1322</v>
      </c>
      <c r="T2" s="76" t="s">
        <v>1323</v>
      </c>
      <c r="U2" s="75" t="s">
        <v>1324</v>
      </c>
      <c r="V2" s="74" t="s">
        <v>1325</v>
      </c>
      <c r="W2" s="74" t="s">
        <v>1326</v>
      </c>
      <c r="X2" s="206" t="s">
        <v>1327</v>
      </c>
      <c r="Y2" s="208" t="s">
        <v>1331</v>
      </c>
      <c r="Z2" s="209" t="s">
        <v>1332</v>
      </c>
      <c r="AA2" s="209" t="s">
        <v>1333</v>
      </c>
      <c r="AB2" s="210" t="s">
        <v>1334</v>
      </c>
      <c r="AC2" s="217" t="s">
        <v>1518</v>
      </c>
      <c r="AD2" s="218" t="s">
        <v>1519</v>
      </c>
      <c r="AE2" s="218" t="s">
        <v>1520</v>
      </c>
      <c r="AF2" s="219" t="s">
        <v>1521</v>
      </c>
      <c r="AG2" s="217" t="s">
        <v>1989</v>
      </c>
      <c r="AH2" s="218" t="s">
        <v>1990</v>
      </c>
      <c r="AI2" s="218" t="s">
        <v>1991</v>
      </c>
      <c r="AJ2" s="219" t="s">
        <v>1992</v>
      </c>
      <c r="AK2" s="174" t="s">
        <v>21</v>
      </c>
      <c r="AL2" s="164" t="s">
        <v>22</v>
      </c>
      <c r="AM2" s="165" t="s">
        <v>23</v>
      </c>
      <c r="AN2" s="165" t="s">
        <v>24</v>
      </c>
      <c r="AO2" s="166" t="s">
        <v>25</v>
      </c>
      <c r="AP2" s="167" t="s">
        <v>26</v>
      </c>
      <c r="AQ2" s="168" t="s">
        <v>27</v>
      </c>
      <c r="AR2" s="169" t="s">
        <v>28</v>
      </c>
      <c r="AS2" s="88" t="s">
        <v>29</v>
      </c>
      <c r="AT2" s="88" t="s">
        <v>30</v>
      </c>
      <c r="AU2" s="170" t="s">
        <v>31</v>
      </c>
      <c r="AV2" s="170" t="s">
        <v>32</v>
      </c>
      <c r="AW2" s="170" t="s">
        <v>33</v>
      </c>
      <c r="AX2" s="170" t="s">
        <v>34</v>
      </c>
      <c r="AY2" s="170" t="s">
        <v>35</v>
      </c>
      <c r="AZ2" s="170" t="s">
        <v>36</v>
      </c>
      <c r="BA2" s="170" t="s">
        <v>37</v>
      </c>
      <c r="BB2" s="163" t="s">
        <v>38</v>
      </c>
      <c r="BC2" s="82" t="s">
        <v>39</v>
      </c>
      <c r="BD2" s="82" t="s">
        <v>40</v>
      </c>
      <c r="BE2" s="82" t="s">
        <v>41</v>
      </c>
      <c r="BF2" s="82" t="s">
        <v>42</v>
      </c>
      <c r="BG2" s="83" t="s">
        <v>43</v>
      </c>
      <c r="BH2" s="82" t="s">
        <v>31</v>
      </c>
      <c r="BI2" s="82" t="s">
        <v>32</v>
      </c>
      <c r="BJ2" s="82" t="s">
        <v>33</v>
      </c>
      <c r="BK2" s="82" t="s">
        <v>34</v>
      </c>
      <c r="BL2" s="82" t="s">
        <v>35</v>
      </c>
      <c r="BM2" s="82" t="s">
        <v>36</v>
      </c>
      <c r="BN2" s="82" t="s">
        <v>37</v>
      </c>
      <c r="BO2" s="82" t="s">
        <v>38</v>
      </c>
      <c r="BP2" s="82" t="s">
        <v>39</v>
      </c>
      <c r="BQ2" s="82" t="s">
        <v>40</v>
      </c>
      <c r="BR2" s="82" t="s">
        <v>41</v>
      </c>
      <c r="BS2" s="82" t="s">
        <v>42</v>
      </c>
      <c r="BT2" s="83" t="s">
        <v>43</v>
      </c>
      <c r="BU2" s="82" t="s">
        <v>31</v>
      </c>
      <c r="BV2" s="82" t="s">
        <v>32</v>
      </c>
      <c r="BW2" s="82" t="s">
        <v>33</v>
      </c>
      <c r="BX2" s="82" t="s">
        <v>34</v>
      </c>
      <c r="BY2" s="82" t="s">
        <v>35</v>
      </c>
      <c r="BZ2" s="82" t="s">
        <v>36</v>
      </c>
      <c r="CA2" s="82" t="s">
        <v>37</v>
      </c>
      <c r="CB2" s="82" t="s">
        <v>38</v>
      </c>
      <c r="CC2" s="82" t="s">
        <v>39</v>
      </c>
      <c r="CD2" s="82" t="s">
        <v>40</v>
      </c>
      <c r="CE2" s="82" t="s">
        <v>41</v>
      </c>
      <c r="CF2" s="82" t="s">
        <v>42</v>
      </c>
      <c r="CG2" s="84" t="s">
        <v>43</v>
      </c>
      <c r="CH2" s="212" t="s">
        <v>31</v>
      </c>
      <c r="CI2" s="227" t="s">
        <v>32</v>
      </c>
      <c r="CJ2" s="212" t="s">
        <v>33</v>
      </c>
      <c r="CK2" s="212" t="s">
        <v>34</v>
      </c>
      <c r="CL2" s="212" t="s">
        <v>35</v>
      </c>
      <c r="CM2" s="212" t="s">
        <v>36</v>
      </c>
      <c r="CN2" s="212" t="s">
        <v>37</v>
      </c>
      <c r="CO2" s="212" t="s">
        <v>38</v>
      </c>
      <c r="CP2" s="212" t="s">
        <v>39</v>
      </c>
      <c r="CQ2" s="212" t="s">
        <v>40</v>
      </c>
      <c r="CR2" s="212" t="s">
        <v>41</v>
      </c>
      <c r="CS2" s="212" t="s">
        <v>42</v>
      </c>
      <c r="CT2" s="577" t="s">
        <v>43</v>
      </c>
      <c r="CU2" s="17" t="s">
        <v>31</v>
      </c>
      <c r="CV2" s="17" t="s">
        <v>32</v>
      </c>
      <c r="CW2" s="17" t="s">
        <v>33</v>
      </c>
      <c r="CX2" s="17" t="s">
        <v>34</v>
      </c>
      <c r="CY2" s="17" t="s">
        <v>35</v>
      </c>
      <c r="CZ2" s="17" t="s">
        <v>36</v>
      </c>
      <c r="DA2" s="17" t="s">
        <v>37</v>
      </c>
      <c r="DB2" s="17" t="s">
        <v>38</v>
      </c>
      <c r="DC2" s="17" t="s">
        <v>39</v>
      </c>
      <c r="DD2" s="17" t="s">
        <v>40</v>
      </c>
      <c r="DE2" s="17" t="s">
        <v>41</v>
      </c>
      <c r="DF2" s="17" t="s">
        <v>42</v>
      </c>
      <c r="DG2" s="370" t="s">
        <v>487</v>
      </c>
      <c r="DH2" s="17" t="s">
        <v>31</v>
      </c>
      <c r="DI2" s="17" t="s">
        <v>32</v>
      </c>
      <c r="DJ2" s="17" t="s">
        <v>33</v>
      </c>
      <c r="DK2" s="17" t="s">
        <v>34</v>
      </c>
      <c r="DL2" s="17" t="s">
        <v>35</v>
      </c>
      <c r="DM2" s="17" t="s">
        <v>36</v>
      </c>
      <c r="DN2" s="17" t="s">
        <v>37</v>
      </c>
      <c r="DO2" s="17" t="s">
        <v>38</v>
      </c>
      <c r="DP2" s="17" t="s">
        <v>39</v>
      </c>
      <c r="DQ2" s="17" t="s">
        <v>40</v>
      </c>
      <c r="DR2" s="17" t="s">
        <v>41</v>
      </c>
      <c r="DS2" s="17" t="s">
        <v>42</v>
      </c>
      <c r="DT2" s="370" t="s">
        <v>487</v>
      </c>
    </row>
    <row r="3" spans="1:125" ht="15.75" customHeight="1" x14ac:dyDescent="0.2">
      <c r="A3" s="811" t="s">
        <v>336</v>
      </c>
      <c r="B3" s="813" t="s">
        <v>45</v>
      </c>
      <c r="C3" s="813" t="s">
        <v>337</v>
      </c>
      <c r="D3" s="813" t="s">
        <v>338</v>
      </c>
      <c r="E3" s="578" t="s">
        <v>1882</v>
      </c>
      <c r="F3" s="813" t="s">
        <v>327</v>
      </c>
      <c r="G3" s="813" t="s">
        <v>49</v>
      </c>
      <c r="H3" s="815" t="s">
        <v>328</v>
      </c>
      <c r="I3" s="815" t="s">
        <v>329</v>
      </c>
      <c r="J3" s="566"/>
      <c r="K3" s="566"/>
      <c r="L3" s="567"/>
      <c r="M3" s="146"/>
      <c r="N3" s="88"/>
      <c r="O3" s="88"/>
      <c r="P3" s="147"/>
      <c r="Q3" s="568"/>
      <c r="R3" s="569"/>
      <c r="S3" s="569"/>
      <c r="T3" s="570"/>
      <c r="U3" s="568"/>
      <c r="V3" s="569"/>
      <c r="W3" s="569"/>
      <c r="X3" s="571"/>
      <c r="Y3" s="568"/>
      <c r="Z3" s="569"/>
      <c r="AA3" s="569"/>
      <c r="AB3" s="570"/>
      <c r="AC3" s="372"/>
      <c r="AD3" s="372"/>
      <c r="AE3" s="372"/>
      <c r="AF3" s="372"/>
      <c r="AG3" s="372"/>
      <c r="AH3" s="372"/>
      <c r="AI3" s="372"/>
      <c r="AJ3" s="372"/>
      <c r="AK3" s="580"/>
      <c r="AL3" s="462"/>
      <c r="AM3" s="463"/>
      <c r="AN3" s="463"/>
      <c r="AO3" s="464"/>
      <c r="AP3" s="461"/>
      <c r="AQ3" s="465"/>
      <c r="AR3" s="460"/>
      <c r="AS3" s="187"/>
      <c r="AT3" s="187"/>
      <c r="AU3" s="466"/>
      <c r="AV3" s="466"/>
      <c r="AW3" s="466"/>
      <c r="AX3" s="466"/>
      <c r="AY3" s="466"/>
      <c r="AZ3" s="466"/>
      <c r="BA3" s="466"/>
      <c r="BB3" s="572"/>
      <c r="BC3" s="573"/>
      <c r="BD3" s="573"/>
      <c r="BE3" s="573"/>
      <c r="BF3" s="573"/>
      <c r="BG3" s="574"/>
      <c r="BH3" s="573"/>
      <c r="BI3" s="573"/>
      <c r="BJ3" s="573"/>
      <c r="BK3" s="573"/>
      <c r="BL3" s="573"/>
      <c r="BM3" s="573"/>
      <c r="BN3" s="573"/>
      <c r="BO3" s="573"/>
      <c r="BP3" s="573"/>
      <c r="BQ3" s="573"/>
      <c r="BR3" s="573"/>
      <c r="BS3" s="573"/>
      <c r="BT3" s="574"/>
      <c r="BU3" s="573"/>
      <c r="BV3" s="573"/>
      <c r="BW3" s="573"/>
      <c r="BX3" s="573"/>
      <c r="BY3" s="573"/>
      <c r="BZ3" s="573"/>
      <c r="CA3" s="573"/>
      <c r="CB3" s="573"/>
      <c r="CC3" s="573"/>
      <c r="CD3" s="573"/>
      <c r="CE3" s="573"/>
      <c r="CF3" s="573"/>
      <c r="CG3" s="575"/>
      <c r="CH3" s="572"/>
      <c r="CI3" s="576"/>
      <c r="CJ3" s="573"/>
      <c r="CK3" s="573"/>
      <c r="CL3" s="573"/>
      <c r="CM3" s="573"/>
      <c r="CN3" s="573"/>
      <c r="CO3" s="573"/>
      <c r="CP3" s="573"/>
      <c r="CQ3" s="573"/>
      <c r="CR3" s="573"/>
      <c r="CS3" s="573"/>
      <c r="CT3" s="577"/>
      <c r="CU3" s="565">
        <v>45490.79</v>
      </c>
      <c r="CV3" s="565">
        <v>52757.03</v>
      </c>
      <c r="CW3" s="565">
        <v>56437.95</v>
      </c>
      <c r="CX3" s="565">
        <v>55980.69</v>
      </c>
      <c r="CY3" s="565">
        <v>55989.38</v>
      </c>
      <c r="CZ3" s="565">
        <v>57053.66</v>
      </c>
      <c r="DA3" s="565">
        <v>56965.56</v>
      </c>
      <c r="DB3" s="565">
        <v>58873.13</v>
      </c>
      <c r="DC3" s="565">
        <v>58309.54</v>
      </c>
      <c r="DD3" s="565">
        <v>58309.54</v>
      </c>
      <c r="DE3" s="565">
        <v>52549.54</v>
      </c>
      <c r="DF3" s="565">
        <v>52549.54</v>
      </c>
      <c r="DG3" s="332">
        <f t="shared" ref="DG3:DG28" si="0">SUM(CU3:DF3)</f>
        <v>661266.35000000009</v>
      </c>
      <c r="DH3" s="96"/>
      <c r="DI3" s="96"/>
      <c r="DJ3" s="96"/>
      <c r="DK3" s="96"/>
      <c r="DL3" s="96"/>
      <c r="DM3" s="96"/>
      <c r="DN3" s="96"/>
      <c r="DO3" s="96"/>
      <c r="DP3" s="96"/>
      <c r="DQ3" s="96"/>
      <c r="DR3" s="96"/>
      <c r="DS3" s="96"/>
      <c r="DT3" s="96">
        <f>SUM(DH3:DS3)</f>
        <v>0</v>
      </c>
    </row>
    <row r="4" spans="1:125" ht="48" x14ac:dyDescent="0.2">
      <c r="A4" s="812"/>
      <c r="B4" s="814"/>
      <c r="C4" s="814"/>
      <c r="D4" s="814"/>
      <c r="E4" s="397" t="s">
        <v>1883</v>
      </c>
      <c r="F4" s="814"/>
      <c r="G4" s="814"/>
      <c r="H4" s="816"/>
      <c r="I4" s="816"/>
      <c r="J4" s="70">
        <v>43403</v>
      </c>
      <c r="K4" s="70">
        <v>45229</v>
      </c>
      <c r="L4" s="394">
        <v>1052577.75</v>
      </c>
      <c r="M4" s="426"/>
      <c r="N4" s="427">
        <f>BG4</f>
        <v>13548.75</v>
      </c>
      <c r="O4" s="427">
        <f>M4+N4</f>
        <v>13548.75</v>
      </c>
      <c r="P4" s="429">
        <f>L4-O4</f>
        <v>1039029</v>
      </c>
      <c r="Q4" s="427">
        <f>O4</f>
        <v>13548.75</v>
      </c>
      <c r="R4" s="427">
        <f>BT4</f>
        <v>8246.09</v>
      </c>
      <c r="S4" s="427">
        <f>Q4+R4</f>
        <v>21794.84</v>
      </c>
      <c r="T4" s="427">
        <f>L4-S4</f>
        <v>1030782.91</v>
      </c>
      <c r="U4" s="427">
        <f>S4</f>
        <v>21794.84</v>
      </c>
      <c r="V4" s="427">
        <f>CG4</f>
        <v>0</v>
      </c>
      <c r="W4" s="427">
        <f>U4+V4</f>
        <v>21794.84</v>
      </c>
      <c r="X4" s="427">
        <f>L4-W4</f>
        <v>1030782.91</v>
      </c>
      <c r="Y4" s="427">
        <f t="shared" ref="Y4:Y30" si="1">W4</f>
        <v>21794.84</v>
      </c>
      <c r="Z4" s="427">
        <f>CT4</f>
        <v>107319.95000000001</v>
      </c>
      <c r="AA4" s="427">
        <f>Y4+Z4</f>
        <v>129114.79000000001</v>
      </c>
      <c r="AB4" s="427">
        <f>L4-AA4</f>
        <v>923462.96</v>
      </c>
      <c r="AC4" s="427">
        <f t="shared" ref="AC4:AC28" si="2">AA4</f>
        <v>129114.79000000001</v>
      </c>
      <c r="AD4" s="427">
        <f t="shared" ref="AD4:AD28" si="3">DG4</f>
        <v>132394.38</v>
      </c>
      <c r="AE4" s="427">
        <f t="shared" ref="AE4:AE36" si="4">AC4+AD4</f>
        <v>261509.17</v>
      </c>
      <c r="AF4" s="427">
        <f t="shared" ref="AF4:AF35" si="5">L4-AA4</f>
        <v>923462.96</v>
      </c>
      <c r="AG4" s="427">
        <f>AE4</f>
        <v>261509.17</v>
      </c>
      <c r="AH4" s="427">
        <f>DT4</f>
        <v>0</v>
      </c>
      <c r="AI4" s="427">
        <f>AG4+AH4</f>
        <v>261509.17</v>
      </c>
      <c r="AJ4" s="427">
        <f>L4-AE4</f>
        <v>791068.58</v>
      </c>
      <c r="AK4" s="441">
        <v>0</v>
      </c>
      <c r="AL4" s="335">
        <v>60</v>
      </c>
      <c r="AM4" s="335" t="s">
        <v>1304</v>
      </c>
      <c r="AN4" s="335">
        <v>0</v>
      </c>
      <c r="AO4" s="335">
        <v>0</v>
      </c>
      <c r="AP4" s="335" t="s">
        <v>53</v>
      </c>
      <c r="AQ4" s="335" t="s">
        <v>53</v>
      </c>
      <c r="AR4" s="335" t="s">
        <v>53</v>
      </c>
      <c r="AS4" s="335" t="s">
        <v>54</v>
      </c>
      <c r="AT4" s="383" t="s">
        <v>331</v>
      </c>
      <c r="AU4" s="357">
        <f>903.21+1596.32+2091.74</f>
        <v>4591.2699999999995</v>
      </c>
      <c r="AV4" s="357">
        <v>0</v>
      </c>
      <c r="AW4" s="357">
        <v>1614.77</v>
      </c>
      <c r="AX4" s="357">
        <v>1452.11</v>
      </c>
      <c r="AY4" s="357">
        <v>1514.38</v>
      </c>
      <c r="AZ4" s="357">
        <v>0</v>
      </c>
      <c r="BA4" s="357">
        <v>0</v>
      </c>
      <c r="BB4" s="357">
        <f>1083.19+3293.03</f>
        <v>4376.22</v>
      </c>
      <c r="BC4" s="357"/>
      <c r="BD4" s="357"/>
      <c r="BE4" s="357"/>
      <c r="BF4" s="357"/>
      <c r="BG4" s="358">
        <f>SUM(AU4:BF4)</f>
        <v>13548.75</v>
      </c>
      <c r="BH4" s="357">
        <v>0</v>
      </c>
      <c r="BI4" s="357">
        <v>0</v>
      </c>
      <c r="BJ4" s="357">
        <v>0</v>
      </c>
      <c r="BK4" s="357">
        <f>1116.13+933.92+2927.5+927.88+926.56+646.42+767.68</f>
        <v>8246.09</v>
      </c>
      <c r="BL4" s="357">
        <v>0</v>
      </c>
      <c r="BM4" s="357">
        <v>0</v>
      </c>
      <c r="BN4" s="357">
        <v>0</v>
      </c>
      <c r="BO4" s="357">
        <v>0</v>
      </c>
      <c r="BP4" s="357">
        <v>0</v>
      </c>
      <c r="BQ4" s="357">
        <v>0</v>
      </c>
      <c r="BR4" s="357">
        <v>0</v>
      </c>
      <c r="BS4" s="357">
        <v>0</v>
      </c>
      <c r="BT4" s="358">
        <f>SUM(BH4:BS4)</f>
        <v>8246.09</v>
      </c>
      <c r="BU4" s="357"/>
      <c r="BV4" s="357"/>
      <c r="BW4" s="357"/>
      <c r="BX4" s="357"/>
      <c r="BY4" s="357"/>
      <c r="BZ4" s="357"/>
      <c r="CA4" s="357"/>
      <c r="CB4" s="357"/>
      <c r="CC4" s="357"/>
      <c r="CD4" s="357"/>
      <c r="CE4" s="357"/>
      <c r="CF4" s="357"/>
      <c r="CG4" s="358">
        <f>SUM(BU4:CF4)</f>
        <v>0</v>
      </c>
      <c r="CH4" s="328">
        <v>0</v>
      </c>
      <c r="CI4" s="328"/>
      <c r="CJ4" s="328">
        <v>11286.92</v>
      </c>
      <c r="CK4" s="328">
        <v>11678.85</v>
      </c>
      <c r="CL4" s="328">
        <v>11396.11</v>
      </c>
      <c r="CM4" s="328">
        <v>10539.23</v>
      </c>
      <c r="CN4" s="328">
        <v>10201.57</v>
      </c>
      <c r="CO4" s="328">
        <v>10429.92</v>
      </c>
      <c r="CP4" s="328">
        <v>10761.34</v>
      </c>
      <c r="CQ4" s="328">
        <v>10261.77</v>
      </c>
      <c r="CR4" s="328">
        <v>10663.91</v>
      </c>
      <c r="CS4" s="328">
        <v>10100.33</v>
      </c>
      <c r="CT4" s="328">
        <f>SUM(CH4:CS4)</f>
        <v>107319.95000000001</v>
      </c>
      <c r="CU4" s="592">
        <v>10100</v>
      </c>
      <c r="CV4" s="592">
        <v>11408.07</v>
      </c>
      <c r="CW4" s="592">
        <v>10948.69</v>
      </c>
      <c r="CX4" s="592">
        <v>11535.62</v>
      </c>
      <c r="CY4" s="592">
        <v>11535.62</v>
      </c>
      <c r="CZ4" s="592">
        <v>3575.58</v>
      </c>
      <c r="DA4" s="592">
        <v>19392.46</v>
      </c>
      <c r="DB4" s="592">
        <v>9695.6200000000008</v>
      </c>
      <c r="DC4" s="592">
        <v>5105.93</v>
      </c>
      <c r="DD4" s="592">
        <v>16294.17</v>
      </c>
      <c r="DE4" s="592">
        <v>11243.76</v>
      </c>
      <c r="DF4" s="592">
        <v>11558.86</v>
      </c>
      <c r="DG4" s="331">
        <f t="shared" si="0"/>
        <v>132394.38</v>
      </c>
      <c r="DH4" s="1"/>
      <c r="DI4" s="1"/>
      <c r="DJ4" s="1"/>
      <c r="DK4" s="1"/>
      <c r="DL4" s="1"/>
      <c r="DM4" s="1"/>
      <c r="DN4" s="1"/>
      <c r="DO4" s="1"/>
      <c r="DP4" s="1"/>
      <c r="DQ4" s="1"/>
      <c r="DR4" s="1"/>
      <c r="DS4" s="1"/>
      <c r="DT4" s="96">
        <f t="shared" ref="DT4:DT46" si="6">SUM(DH4:DS4)</f>
        <v>0</v>
      </c>
    </row>
    <row r="5" spans="1:125" x14ac:dyDescent="0.2">
      <c r="A5" s="762" t="s">
        <v>350</v>
      </c>
      <c r="B5" s="817" t="s">
        <v>107</v>
      </c>
      <c r="C5" s="763" t="s">
        <v>351</v>
      </c>
      <c r="D5" s="763" t="s">
        <v>352</v>
      </c>
      <c r="E5" s="331">
        <v>15754</v>
      </c>
      <c r="F5" s="763" t="s">
        <v>353</v>
      </c>
      <c r="G5" s="331"/>
      <c r="H5" s="331"/>
      <c r="I5" s="331"/>
      <c r="J5" s="335"/>
      <c r="K5" s="335"/>
      <c r="L5" s="413"/>
      <c r="M5" s="350"/>
      <c r="N5" s="350"/>
      <c r="O5" s="350"/>
      <c r="P5" s="350"/>
      <c r="Q5" s="350"/>
      <c r="R5" s="350"/>
      <c r="S5" s="350"/>
      <c r="T5" s="350"/>
      <c r="U5" s="350"/>
      <c r="V5" s="350"/>
      <c r="W5" s="427"/>
      <c r="X5" s="427"/>
      <c r="Y5" s="427"/>
      <c r="Z5" s="350"/>
      <c r="AA5" s="350"/>
      <c r="AB5" s="350"/>
      <c r="AC5" s="427"/>
      <c r="AD5" s="427"/>
      <c r="AE5" s="427"/>
      <c r="AF5" s="427"/>
      <c r="AG5" s="427"/>
      <c r="AH5" s="427"/>
      <c r="AI5" s="427"/>
      <c r="AJ5" s="427"/>
      <c r="AK5" s="335"/>
      <c r="AL5" s="335"/>
      <c r="AM5" s="335"/>
      <c r="AN5" s="335"/>
      <c r="AO5" s="335"/>
      <c r="AP5" s="335"/>
      <c r="AQ5" s="335"/>
      <c r="AR5" s="335"/>
      <c r="AS5" s="335"/>
      <c r="AT5" s="331"/>
      <c r="AU5" s="357"/>
      <c r="AV5" s="357"/>
      <c r="AW5" s="357"/>
      <c r="AX5" s="357"/>
      <c r="AY5" s="357"/>
      <c r="AZ5" s="357"/>
      <c r="BA5" s="357"/>
      <c r="BB5" s="357"/>
      <c r="BC5" s="357"/>
      <c r="BD5" s="357"/>
      <c r="BE5" s="357"/>
      <c r="BF5" s="357"/>
      <c r="BG5" s="358"/>
      <c r="BH5" s="357"/>
      <c r="BI5" s="357"/>
      <c r="BJ5" s="357"/>
      <c r="BK5" s="357"/>
      <c r="BL5" s="357"/>
      <c r="BM5" s="357"/>
      <c r="BN5" s="357"/>
      <c r="BO5" s="357"/>
      <c r="BP5" s="357"/>
      <c r="BQ5" s="357"/>
      <c r="BR5" s="357"/>
      <c r="BS5" s="357"/>
      <c r="BT5" s="357"/>
      <c r="BU5" s="357"/>
      <c r="BV5" s="357"/>
      <c r="BW5" s="357"/>
      <c r="BX5" s="357"/>
      <c r="BY5" s="357"/>
      <c r="BZ5" s="357"/>
      <c r="CA5" s="357"/>
      <c r="CB5" s="357"/>
      <c r="CC5" s="357"/>
      <c r="CD5" s="357"/>
      <c r="CE5" s="357"/>
      <c r="CF5" s="357"/>
      <c r="CG5" s="357"/>
      <c r="CH5" s="331"/>
      <c r="CI5" s="328"/>
      <c r="CJ5" s="331"/>
      <c r="CK5" s="331"/>
      <c r="CL5" s="331"/>
      <c r="CM5" s="331"/>
      <c r="CN5" s="331"/>
      <c r="CO5" s="331"/>
      <c r="CP5" s="331"/>
      <c r="CQ5" s="331"/>
      <c r="CR5" s="331"/>
      <c r="CS5" s="331"/>
      <c r="CT5" s="331"/>
      <c r="CU5" s="331">
        <v>373186.68000000005</v>
      </c>
      <c r="CV5" s="331">
        <v>362931.02</v>
      </c>
      <c r="CW5" s="331">
        <f>20000*1.15</f>
        <v>23000</v>
      </c>
      <c r="CX5" s="331">
        <v>722474.65999999992</v>
      </c>
      <c r="CY5" s="331">
        <v>374315.77</v>
      </c>
      <c r="CZ5" s="331">
        <v>299157.40000000002</v>
      </c>
      <c r="DA5" s="331"/>
      <c r="DB5" s="25">
        <v>317652.40000000002</v>
      </c>
      <c r="DC5" s="331">
        <v>751124.64</v>
      </c>
      <c r="DD5" s="331"/>
      <c r="DE5" s="25">
        <v>741774.95000000007</v>
      </c>
      <c r="DF5" s="331">
        <v>371158.11</v>
      </c>
      <c r="DG5" s="1">
        <f>SUM(CU5:DF5)</f>
        <v>4336775.63</v>
      </c>
      <c r="DH5" s="1"/>
      <c r="DI5" s="1"/>
      <c r="DJ5" s="1"/>
      <c r="DK5" s="1"/>
      <c r="DL5" s="1"/>
      <c r="DM5" s="1"/>
      <c r="DN5" s="1"/>
      <c r="DO5" s="1"/>
      <c r="DP5" s="1"/>
      <c r="DQ5" s="1"/>
      <c r="DR5" s="1"/>
      <c r="DS5" s="1"/>
      <c r="DT5" s="96">
        <f t="shared" si="6"/>
        <v>0</v>
      </c>
    </row>
    <row r="6" spans="1:125" ht="60" x14ac:dyDescent="0.2">
      <c r="A6" s="762"/>
      <c r="B6" s="818"/>
      <c r="C6" s="763"/>
      <c r="D6" s="763"/>
      <c r="E6" s="1">
        <v>2862</v>
      </c>
      <c r="F6" s="763"/>
      <c r="G6" s="1" t="s">
        <v>49</v>
      </c>
      <c r="H6" s="33" t="s">
        <v>354</v>
      </c>
      <c r="I6" s="1" t="s">
        <v>316</v>
      </c>
      <c r="J6" s="58">
        <v>43614</v>
      </c>
      <c r="K6" s="58">
        <v>44710</v>
      </c>
      <c r="L6" s="528">
        <v>288447.48</v>
      </c>
      <c r="M6" s="136"/>
      <c r="N6" s="136">
        <f>BG6</f>
        <v>0</v>
      </c>
      <c r="O6" s="136">
        <f>M6+N6</f>
        <v>0</v>
      </c>
      <c r="P6" s="136">
        <f>L6-O6</f>
        <v>288447.48</v>
      </c>
      <c r="Q6" s="136">
        <f>O6</f>
        <v>0</v>
      </c>
      <c r="R6" s="136">
        <f>BT6</f>
        <v>2816997.74</v>
      </c>
      <c r="S6" s="136">
        <f>Q6+R6</f>
        <v>2816997.74</v>
      </c>
      <c r="T6" s="136">
        <f>L6-S6</f>
        <v>-2528550.2600000002</v>
      </c>
      <c r="U6" s="136">
        <f>S6</f>
        <v>2816997.74</v>
      </c>
      <c r="V6" s="136">
        <f>CG6</f>
        <v>0</v>
      </c>
      <c r="W6" s="136">
        <f>U6+V6</f>
        <v>2816997.74</v>
      </c>
      <c r="X6" s="136">
        <f>L6-W6</f>
        <v>-2528550.2600000002</v>
      </c>
      <c r="Y6" s="136">
        <f t="shared" si="1"/>
        <v>2816997.74</v>
      </c>
      <c r="Z6" s="136">
        <f>CT6</f>
        <v>329448.16000000009</v>
      </c>
      <c r="AA6" s="136">
        <f t="shared" ref="AA6:AA27" si="7">Y6+Z6</f>
        <v>3146445.9000000004</v>
      </c>
      <c r="AB6" s="136">
        <f>L6-AA6</f>
        <v>-2857998.4200000004</v>
      </c>
      <c r="AC6" s="136">
        <f t="shared" si="2"/>
        <v>3146445.9000000004</v>
      </c>
      <c r="AD6" s="136">
        <f t="shared" si="3"/>
        <v>271459.48</v>
      </c>
      <c r="AE6" s="136">
        <f t="shared" si="4"/>
        <v>3417905.3800000004</v>
      </c>
      <c r="AF6" s="136">
        <f t="shared" si="5"/>
        <v>-2857998.4200000004</v>
      </c>
      <c r="AG6" s="136"/>
      <c r="AH6" s="136"/>
      <c r="AI6" s="136"/>
      <c r="AJ6" s="136"/>
      <c r="AK6" s="548">
        <v>0</v>
      </c>
      <c r="AL6" s="46">
        <v>36</v>
      </c>
      <c r="AM6" s="46" t="s">
        <v>1304</v>
      </c>
      <c r="AN6" s="46" t="s">
        <v>1421</v>
      </c>
      <c r="AO6" s="46">
        <v>0</v>
      </c>
      <c r="AP6" s="46" t="s">
        <v>53</v>
      </c>
      <c r="AQ6" s="46" t="s">
        <v>53</v>
      </c>
      <c r="AR6" s="46" t="s">
        <v>53</v>
      </c>
      <c r="AS6" s="46" t="s">
        <v>54</v>
      </c>
      <c r="AT6" s="33" t="s">
        <v>1422</v>
      </c>
      <c r="AU6" s="15"/>
      <c r="AV6" s="15"/>
      <c r="AW6" s="15"/>
      <c r="AX6" s="15"/>
      <c r="AY6" s="15"/>
      <c r="AZ6" s="15"/>
      <c r="BA6" s="15"/>
      <c r="BB6" s="15"/>
      <c r="BC6" s="15"/>
      <c r="BD6" s="15"/>
      <c r="BE6" s="15"/>
      <c r="BF6" s="15"/>
      <c r="BG6" s="102">
        <f>SUM(AU6:BF6)</f>
        <v>0</v>
      </c>
      <c r="BH6" s="15">
        <v>102467.34</v>
      </c>
      <c r="BI6" s="15">
        <v>88116.83</v>
      </c>
      <c r="BJ6" s="15">
        <v>84634.41</v>
      </c>
      <c r="BK6" s="15">
        <v>122777.58</v>
      </c>
      <c r="BL6" s="15">
        <f>161904.83+5827.95</f>
        <v>167732.78</v>
      </c>
      <c r="BM6" s="15">
        <f>201262.52+5936.01</f>
        <v>207198.53</v>
      </c>
      <c r="BN6" s="15">
        <v>186223.45</v>
      </c>
      <c r="BO6" s="15">
        <v>0</v>
      </c>
      <c r="BP6" s="15">
        <f>220705.38+6862.83+295543.39+7672.59+113.91</f>
        <v>530898.1</v>
      </c>
      <c r="BQ6" s="15">
        <f>403340.42+7934.75</f>
        <v>411275.17</v>
      </c>
      <c r="BR6" s="15">
        <f>446401.03+8775.96</f>
        <v>455176.99000000005</v>
      </c>
      <c r="BS6" s="15">
        <f>451433.69+9062.87</f>
        <v>460496.56</v>
      </c>
      <c r="BT6" s="102">
        <f>SUM(BH6:BS6)</f>
        <v>2816997.74</v>
      </c>
      <c r="BU6" s="15"/>
      <c r="BV6" s="15"/>
      <c r="BW6" s="15"/>
      <c r="BX6" s="15"/>
      <c r="BY6" s="15"/>
      <c r="BZ6" s="15"/>
      <c r="CA6" s="15"/>
      <c r="CB6" s="15"/>
      <c r="CC6" s="15"/>
      <c r="CD6" s="15"/>
      <c r="CE6" s="15"/>
      <c r="CF6" s="15"/>
      <c r="CG6" s="102">
        <f t="shared" ref="CG6:CG28" si="8">SUM(BU6:CF6)</f>
        <v>0</v>
      </c>
      <c r="CH6" s="42">
        <f>45111.77+45111.77</f>
        <v>90223.54</v>
      </c>
      <c r="CI6" s="42">
        <f>10396.41+10396.41</f>
        <v>20792.82</v>
      </c>
      <c r="CJ6" s="42">
        <f>10578.63+10578.63</f>
        <v>21157.26</v>
      </c>
      <c r="CK6" s="42">
        <f>10578.63+10578.63</f>
        <v>21157.26</v>
      </c>
      <c r="CL6" s="42">
        <f>10578.63+10578.63</f>
        <v>21157.26</v>
      </c>
      <c r="CM6" s="42">
        <f>10578.63+10578.63</f>
        <v>21157.26</v>
      </c>
      <c r="CN6" s="42">
        <f t="shared" ref="CN6:CS6" si="9">11150.23+11150.23</f>
        <v>22300.46</v>
      </c>
      <c r="CO6" s="42">
        <f t="shared" si="9"/>
        <v>22300.46</v>
      </c>
      <c r="CP6" s="42">
        <f t="shared" si="9"/>
        <v>22300.46</v>
      </c>
      <c r="CQ6" s="42">
        <f t="shared" si="9"/>
        <v>22300.46</v>
      </c>
      <c r="CR6" s="42">
        <f t="shared" si="9"/>
        <v>22300.46</v>
      </c>
      <c r="CS6" s="42">
        <f t="shared" si="9"/>
        <v>22300.46</v>
      </c>
      <c r="CT6" s="42">
        <f t="shared" ref="CT6:CT30" si="10">SUM(CH6:CS6)</f>
        <v>329448.16000000009</v>
      </c>
      <c r="CU6" s="1">
        <f>11150.23+11150.23</f>
        <v>22300.46</v>
      </c>
      <c r="CV6" s="1">
        <f>11150.23+11150.23</f>
        <v>22300.46</v>
      </c>
      <c r="CW6" s="1">
        <f>11150.23+11150.23</f>
        <v>22300.46</v>
      </c>
      <c r="CX6" s="1">
        <f>11150.23+11150.23+1154.6</f>
        <v>23455.059999999998</v>
      </c>
      <c r="CY6" s="1">
        <f>11150.23+11150.23</f>
        <v>22300.46</v>
      </c>
      <c r="CZ6" s="1">
        <f>11150.23+11150.23</f>
        <v>22300.46</v>
      </c>
      <c r="DA6" s="1">
        <f>11150.23+11150.23</f>
        <v>22300.46</v>
      </c>
      <c r="DB6" s="1">
        <f>11150.23+11150.23+1222.45</f>
        <v>23522.91</v>
      </c>
      <c r="DC6" s="1">
        <f>11150.23+11150.23+1222.45</f>
        <v>23522.91</v>
      </c>
      <c r="DD6" s="1">
        <f>11092.52+11292.76</f>
        <v>22385.279999999999</v>
      </c>
      <c r="DE6" s="1">
        <f>11092.52+11292.76</f>
        <v>22385.279999999999</v>
      </c>
      <c r="DF6" s="1">
        <f>11092.52+11292.76</f>
        <v>22385.279999999999</v>
      </c>
      <c r="DG6" s="1">
        <f>SUM(CU6:DF6)</f>
        <v>271459.48</v>
      </c>
      <c r="DH6" s="1"/>
      <c r="DI6" s="1"/>
      <c r="DJ6" s="1"/>
      <c r="DK6" s="1"/>
      <c r="DL6" s="1"/>
      <c r="DM6" s="1"/>
      <c r="DN6" s="1"/>
      <c r="DO6" s="1"/>
      <c r="DP6" s="1"/>
      <c r="DQ6" s="1"/>
      <c r="DR6" s="1"/>
      <c r="DS6" s="1"/>
      <c r="DT6" s="96">
        <f t="shared" si="6"/>
        <v>0</v>
      </c>
    </row>
    <row r="7" spans="1:125" ht="12.75" thickBot="1" x14ac:dyDescent="0.25">
      <c r="A7" s="821" t="s">
        <v>1</v>
      </c>
      <c r="B7" s="821"/>
      <c r="C7" s="821"/>
      <c r="D7" s="822"/>
      <c r="E7" s="579"/>
      <c r="F7" s="359"/>
      <c r="G7" s="359"/>
      <c r="H7" s="436"/>
      <c r="I7" s="436"/>
      <c r="J7" s="437"/>
      <c r="K7" s="437"/>
      <c r="L7" s="438"/>
      <c r="M7" s="581"/>
      <c r="N7" s="582"/>
      <c r="O7" s="582"/>
      <c r="P7" s="583"/>
      <c r="Q7" s="581"/>
      <c r="R7" s="582"/>
      <c r="S7" s="582"/>
      <c r="T7" s="583"/>
      <c r="U7" s="581"/>
      <c r="V7" s="582"/>
      <c r="W7" s="582"/>
      <c r="X7" s="584"/>
      <c r="Y7" s="581">
        <f t="shared" si="1"/>
        <v>0</v>
      </c>
      <c r="Z7" s="582"/>
      <c r="AA7" s="582">
        <f t="shared" si="7"/>
        <v>0</v>
      </c>
      <c r="AB7" s="582"/>
      <c r="AC7" s="585">
        <f t="shared" si="2"/>
        <v>0</v>
      </c>
      <c r="AD7" s="585">
        <f t="shared" si="3"/>
        <v>0</v>
      </c>
      <c r="AE7" s="585">
        <f t="shared" si="4"/>
        <v>0</v>
      </c>
      <c r="AF7" s="585">
        <f t="shared" si="5"/>
        <v>0</v>
      </c>
      <c r="AG7" s="585"/>
      <c r="AH7" s="585"/>
      <c r="AI7" s="585"/>
      <c r="AJ7" s="585"/>
      <c r="AK7" s="593"/>
      <c r="AL7" s="379"/>
      <c r="AM7" s="379"/>
      <c r="AN7" s="379"/>
      <c r="AO7" s="379"/>
      <c r="AP7" s="379"/>
      <c r="AQ7" s="379"/>
      <c r="AR7" s="379"/>
      <c r="AS7" s="379"/>
      <c r="AT7" s="586"/>
      <c r="AU7" s="587"/>
      <c r="AV7" s="587"/>
      <c r="AW7" s="587"/>
      <c r="AX7" s="587"/>
      <c r="AY7" s="587"/>
      <c r="AZ7" s="587"/>
      <c r="BA7" s="587"/>
      <c r="BB7" s="409"/>
      <c r="BC7" s="409"/>
      <c r="BD7" s="409"/>
      <c r="BE7" s="409"/>
      <c r="BF7" s="409"/>
      <c r="BG7" s="417"/>
      <c r="BH7" s="409"/>
      <c r="BI7" s="409"/>
      <c r="BJ7" s="409"/>
      <c r="BK7" s="409"/>
      <c r="BL7" s="409"/>
      <c r="BM7" s="409"/>
      <c r="BN7" s="409"/>
      <c r="BO7" s="409"/>
      <c r="BP7" s="409"/>
      <c r="BQ7" s="409"/>
      <c r="BR7" s="409"/>
      <c r="BS7" s="409"/>
      <c r="BT7" s="417"/>
      <c r="BU7" s="409"/>
      <c r="BV7" s="409"/>
      <c r="BW7" s="409"/>
      <c r="BX7" s="409"/>
      <c r="BY7" s="409"/>
      <c r="BZ7" s="409"/>
      <c r="CA7" s="409"/>
      <c r="CB7" s="409"/>
      <c r="CC7" s="409"/>
      <c r="CD7" s="409"/>
      <c r="CE7" s="409"/>
      <c r="CF7" s="409"/>
      <c r="CG7" s="588">
        <f t="shared" si="8"/>
        <v>0</v>
      </c>
      <c r="CH7" s="589"/>
      <c r="CI7" s="590"/>
      <c r="CJ7" s="590"/>
      <c r="CK7" s="590"/>
      <c r="CL7" s="590"/>
      <c r="CM7" s="590"/>
      <c r="CN7" s="590"/>
      <c r="CO7" s="590"/>
      <c r="CP7" s="590"/>
      <c r="CQ7" s="590"/>
      <c r="CR7" s="590"/>
      <c r="CS7" s="590"/>
      <c r="CT7" s="591">
        <f t="shared" si="10"/>
        <v>0</v>
      </c>
      <c r="CU7" s="332"/>
      <c r="CV7" s="332"/>
      <c r="CW7" s="332"/>
      <c r="CX7" s="332"/>
      <c r="CY7" s="332"/>
      <c r="CZ7" s="332"/>
      <c r="DA7" s="332"/>
      <c r="DB7" s="332"/>
      <c r="DC7" s="332"/>
      <c r="DD7" s="332"/>
      <c r="DE7" s="332"/>
      <c r="DF7" s="332"/>
      <c r="DG7" s="332">
        <f t="shared" si="0"/>
        <v>0</v>
      </c>
      <c r="DH7" s="1"/>
      <c r="DI7" s="1"/>
      <c r="DJ7" s="1"/>
      <c r="DK7" s="1"/>
      <c r="DL7" s="1"/>
      <c r="DM7" s="1"/>
      <c r="DN7" s="1"/>
      <c r="DO7" s="1"/>
      <c r="DP7" s="1"/>
      <c r="DQ7" s="1"/>
      <c r="DR7" s="1"/>
      <c r="DS7" s="1"/>
      <c r="DT7" s="96">
        <f t="shared" si="6"/>
        <v>0</v>
      </c>
    </row>
    <row r="8" spans="1:125" ht="48.75" hidden="1" thickBot="1" x14ac:dyDescent="0.25">
      <c r="A8" s="4" t="s">
        <v>405</v>
      </c>
      <c r="B8" s="33" t="s">
        <v>107</v>
      </c>
      <c r="C8" s="1" t="s">
        <v>406</v>
      </c>
      <c r="D8" s="1" t="s">
        <v>407</v>
      </c>
      <c r="E8" s="1"/>
      <c r="F8" s="1" t="s">
        <v>408</v>
      </c>
      <c r="G8" s="1" t="s">
        <v>49</v>
      </c>
      <c r="H8" s="33" t="s">
        <v>328</v>
      </c>
      <c r="I8" s="33" t="s">
        <v>51</v>
      </c>
      <c r="J8" s="58">
        <v>44151</v>
      </c>
      <c r="K8" s="58">
        <v>45246</v>
      </c>
      <c r="L8" s="195">
        <v>877050</v>
      </c>
      <c r="M8" s="135"/>
      <c r="N8" s="136">
        <f t="shared" ref="N8:N27" si="11">BG8</f>
        <v>0</v>
      </c>
      <c r="O8" s="136">
        <f t="shared" ref="O8:O27" si="12">M8+N8</f>
        <v>0</v>
      </c>
      <c r="P8" s="137">
        <f t="shared" ref="P8:P27" si="13">L8-O8</f>
        <v>877050</v>
      </c>
      <c r="Q8" s="135">
        <f t="shared" ref="Q8:Q27" si="14">O8</f>
        <v>0</v>
      </c>
      <c r="R8" s="136">
        <f t="shared" ref="R8:R27" si="15">BT8</f>
        <v>249728.07</v>
      </c>
      <c r="S8" s="136">
        <f t="shared" ref="S8:S27" si="16">Q8+R8</f>
        <v>249728.07</v>
      </c>
      <c r="T8" s="137">
        <f t="shared" ref="T8:T27" si="17">L8-S8</f>
        <v>627321.92999999993</v>
      </c>
      <c r="U8" s="135">
        <f t="shared" ref="U8:U27" si="18">S8</f>
        <v>249728.07</v>
      </c>
      <c r="V8" s="136">
        <f t="shared" ref="V8:V27" si="19">CG8</f>
        <v>0</v>
      </c>
      <c r="W8" s="136">
        <f t="shared" ref="W8:W27" si="20">U8+V8</f>
        <v>249728.07</v>
      </c>
      <c r="X8" s="207">
        <f t="shared" ref="X8:X27" si="21">L8-W8</f>
        <v>627321.92999999993</v>
      </c>
      <c r="Y8" s="135">
        <f t="shared" si="1"/>
        <v>249728.07</v>
      </c>
      <c r="Z8" s="136">
        <f t="shared" ref="Z8:Z27" si="22">CT8</f>
        <v>428305.47000000003</v>
      </c>
      <c r="AA8" s="136">
        <f t="shared" si="7"/>
        <v>678033.54</v>
      </c>
      <c r="AB8" s="137">
        <f t="shared" ref="AB8:AB15" si="23">L8-AA8</f>
        <v>199016.45999999996</v>
      </c>
      <c r="AC8" s="362">
        <f t="shared" si="2"/>
        <v>678033.54</v>
      </c>
      <c r="AD8" s="362">
        <f t="shared" si="3"/>
        <v>84135.53</v>
      </c>
      <c r="AE8" s="362">
        <f t="shared" si="4"/>
        <v>762169.07000000007</v>
      </c>
      <c r="AF8" s="362">
        <f t="shared" si="5"/>
        <v>199016.45999999996</v>
      </c>
      <c r="AG8" s="362"/>
      <c r="AH8" s="362"/>
      <c r="AI8" s="362"/>
      <c r="AJ8" s="362"/>
      <c r="AK8" s="171">
        <v>0</v>
      </c>
      <c r="AL8" s="46">
        <v>36</v>
      </c>
      <c r="AM8" s="46" t="s">
        <v>1304</v>
      </c>
      <c r="AN8" s="46">
        <v>0</v>
      </c>
      <c r="AO8" s="46">
        <v>0</v>
      </c>
      <c r="AP8" s="46" t="s">
        <v>53</v>
      </c>
      <c r="AQ8" s="46" t="s">
        <v>53</v>
      </c>
      <c r="AR8" s="46" t="s">
        <v>53</v>
      </c>
      <c r="AS8" s="46" t="s">
        <v>54</v>
      </c>
      <c r="AT8" s="33" t="s">
        <v>70</v>
      </c>
      <c r="AU8" s="15"/>
      <c r="AV8" s="15"/>
      <c r="AW8" s="15"/>
      <c r="AX8" s="15"/>
      <c r="AY8" s="15"/>
      <c r="AZ8" s="15"/>
      <c r="BA8" s="15"/>
      <c r="BB8" s="108"/>
      <c r="BC8" s="15"/>
      <c r="BD8" s="15"/>
      <c r="BE8" s="15"/>
      <c r="BF8" s="15"/>
      <c r="BG8" s="102">
        <f t="shared" ref="BG8:BG27" si="24">SUM(AU8:BF8)</f>
        <v>0</v>
      </c>
      <c r="BH8" s="15"/>
      <c r="BI8" s="15"/>
      <c r="BJ8" s="15"/>
      <c r="BK8" s="15"/>
      <c r="BL8" s="15"/>
      <c r="BM8" s="15"/>
      <c r="BN8" s="15"/>
      <c r="BO8" s="15"/>
      <c r="BP8" s="15"/>
      <c r="BQ8" s="15"/>
      <c r="BR8" s="15"/>
      <c r="BS8" s="15">
        <f>249728.07</f>
        <v>249728.07</v>
      </c>
      <c r="BT8" s="102">
        <f t="shared" ref="BT8:BT27" si="25">SUM(BH8:BS8)</f>
        <v>249728.07</v>
      </c>
      <c r="BU8" s="15"/>
      <c r="BV8" s="15"/>
      <c r="BW8" s="15"/>
      <c r="BX8" s="15"/>
      <c r="BY8" s="15"/>
      <c r="BZ8" s="15"/>
      <c r="CA8" s="15"/>
      <c r="CB8" s="15"/>
      <c r="CC8" s="15"/>
      <c r="CD8" s="15"/>
      <c r="CE8" s="15"/>
      <c r="CF8" s="15"/>
      <c r="CG8" s="494">
        <f t="shared" si="8"/>
        <v>0</v>
      </c>
      <c r="CH8" s="241">
        <v>0</v>
      </c>
      <c r="CI8" s="42">
        <v>24343.200000000001</v>
      </c>
      <c r="CJ8" s="42">
        <v>24870.87</v>
      </c>
      <c r="CK8" s="42">
        <v>24343.200000000001</v>
      </c>
      <c r="CL8" s="42">
        <v>24870.87</v>
      </c>
      <c r="CM8" s="42">
        <v>24343.200000000001</v>
      </c>
      <c r="CN8" s="42">
        <v>26820.880000000001</v>
      </c>
      <c r="CO8" s="42">
        <f>(24343.2*4)+28308.39</f>
        <v>125681.19</v>
      </c>
      <c r="CP8" s="42">
        <v>24343.200000000001</v>
      </c>
      <c r="CQ8" s="42">
        <f>28838.38+24343.2+24343.2</f>
        <v>77524.78</v>
      </c>
      <c r="CR8" s="42">
        <v>24343.200000000001</v>
      </c>
      <c r="CS8" s="42">
        <v>26820.880000000001</v>
      </c>
      <c r="CT8" s="365">
        <f t="shared" si="10"/>
        <v>428305.47000000003</v>
      </c>
      <c r="CU8" s="1">
        <v>0</v>
      </c>
      <c r="CV8" s="1">
        <v>28748.98</v>
      </c>
      <c r="CW8" s="1">
        <v>26566.69</v>
      </c>
      <c r="CX8" s="1">
        <v>28819.86</v>
      </c>
      <c r="CY8" s="1"/>
      <c r="CZ8" s="1"/>
      <c r="DA8" s="1"/>
      <c r="DB8" s="1"/>
      <c r="DC8" s="1"/>
      <c r="DD8" s="1"/>
      <c r="DE8" s="1"/>
      <c r="DF8" s="1"/>
      <c r="DG8" s="1">
        <f t="shared" si="0"/>
        <v>84135.53</v>
      </c>
      <c r="DH8" s="1"/>
      <c r="DI8" s="1"/>
      <c r="DJ8" s="1"/>
      <c r="DK8" s="1"/>
      <c r="DL8" s="1"/>
      <c r="DM8" s="1"/>
      <c r="DN8" s="1"/>
      <c r="DO8" s="1"/>
      <c r="DP8" s="1"/>
      <c r="DQ8" s="1"/>
      <c r="DR8" s="1"/>
      <c r="DS8" s="1"/>
      <c r="DT8" s="96">
        <f t="shared" si="6"/>
        <v>0</v>
      </c>
    </row>
    <row r="9" spans="1:125" s="624" customFormat="1" ht="15.75" customHeight="1" x14ac:dyDescent="0.2">
      <c r="A9" s="960" t="s">
        <v>430</v>
      </c>
      <c r="B9" s="961" t="s">
        <v>107</v>
      </c>
      <c r="C9" s="960" t="s">
        <v>431</v>
      </c>
      <c r="D9" s="960" t="s">
        <v>432</v>
      </c>
      <c r="E9" s="673">
        <v>3518</v>
      </c>
      <c r="F9" s="673"/>
      <c r="G9" s="673"/>
      <c r="H9" s="911"/>
      <c r="I9" s="911" t="s">
        <v>1884</v>
      </c>
      <c r="J9" s="962"/>
      <c r="K9" s="962"/>
      <c r="L9" s="963"/>
      <c r="M9" s="964"/>
      <c r="N9" s="965"/>
      <c r="O9" s="965"/>
      <c r="P9" s="966"/>
      <c r="Q9" s="964"/>
      <c r="R9" s="965"/>
      <c r="S9" s="965"/>
      <c r="T9" s="966"/>
      <c r="U9" s="964"/>
      <c r="V9" s="965"/>
      <c r="W9" s="965"/>
      <c r="X9" s="967"/>
      <c r="Y9" s="964"/>
      <c r="Z9" s="965"/>
      <c r="AA9" s="965"/>
      <c r="AB9" s="966"/>
      <c r="AC9" s="968"/>
      <c r="AD9" s="968"/>
      <c r="AE9" s="968"/>
      <c r="AF9" s="968"/>
      <c r="AG9" s="968"/>
      <c r="AH9" s="968"/>
      <c r="AI9" s="968"/>
      <c r="AJ9" s="968"/>
      <c r="AK9" s="921"/>
      <c r="AL9" s="697"/>
      <c r="AM9" s="697"/>
      <c r="AN9" s="697"/>
      <c r="AO9" s="697"/>
      <c r="AP9" s="697"/>
      <c r="AQ9" s="697"/>
      <c r="AR9" s="697"/>
      <c r="AS9" s="697"/>
      <c r="AT9" s="911"/>
      <c r="AU9" s="922"/>
      <c r="AV9" s="922"/>
      <c r="AW9" s="922"/>
      <c r="AX9" s="922"/>
      <c r="AY9" s="922"/>
      <c r="AZ9" s="922"/>
      <c r="BA9" s="922"/>
      <c r="BB9" s="969"/>
      <c r="BC9" s="922"/>
      <c r="BD9" s="922"/>
      <c r="BE9" s="922"/>
      <c r="BF9" s="922"/>
      <c r="BG9" s="923"/>
      <c r="BH9" s="922"/>
      <c r="BI9" s="922"/>
      <c r="BJ9" s="922"/>
      <c r="BK9" s="922"/>
      <c r="BL9" s="922"/>
      <c r="BM9" s="922"/>
      <c r="BN9" s="922"/>
      <c r="BO9" s="922"/>
      <c r="BP9" s="922"/>
      <c r="BQ9" s="922"/>
      <c r="BR9" s="922"/>
      <c r="BS9" s="922"/>
      <c r="BT9" s="923"/>
      <c r="BU9" s="922"/>
      <c r="BV9" s="922"/>
      <c r="BW9" s="922"/>
      <c r="BX9" s="922"/>
      <c r="BY9" s="922"/>
      <c r="BZ9" s="922"/>
      <c r="CA9" s="922"/>
      <c r="CB9" s="922"/>
      <c r="CC9" s="922"/>
      <c r="CD9" s="922"/>
      <c r="CE9" s="922"/>
      <c r="CF9" s="922"/>
      <c r="CG9" s="970"/>
      <c r="CH9" s="917"/>
      <c r="CI9" s="915"/>
      <c r="CJ9" s="915"/>
      <c r="CK9" s="915"/>
      <c r="CL9" s="915"/>
      <c r="CM9" s="915"/>
      <c r="CN9" s="915"/>
      <c r="CO9" s="915"/>
      <c r="CP9" s="915"/>
      <c r="CQ9" s="915"/>
      <c r="CR9" s="915"/>
      <c r="CS9" s="915"/>
      <c r="CT9" s="971"/>
      <c r="CU9" s="673">
        <v>26316.489999999998</v>
      </c>
      <c r="CV9" s="673">
        <v>18595.079999999998</v>
      </c>
      <c r="CW9" s="673">
        <v>36627.31</v>
      </c>
      <c r="CX9" s="673">
        <v>23233.91</v>
      </c>
      <c r="CY9" s="673">
        <v>25410.89</v>
      </c>
      <c r="CZ9" s="673">
        <v>24208.3</v>
      </c>
      <c r="DA9" s="673">
        <v>18524.11</v>
      </c>
      <c r="DB9" s="673">
        <v>17360.79</v>
      </c>
      <c r="DC9" s="673">
        <v>21113.45</v>
      </c>
      <c r="DD9" s="673"/>
      <c r="DE9" s="673">
        <v>9161.3799999999992</v>
      </c>
      <c r="DF9" s="673">
        <v>27864.959999999999</v>
      </c>
      <c r="DG9" s="673">
        <f t="shared" si="0"/>
        <v>248416.66999999998</v>
      </c>
      <c r="DH9" s="469">
        <f>84895.6+12143.98+88012.39</f>
        <v>185051.97</v>
      </c>
      <c r="DI9" s="469">
        <v>94270.76</v>
      </c>
      <c r="DJ9" s="469">
        <v>82465.81</v>
      </c>
      <c r="DK9" s="469">
        <v>84536.83</v>
      </c>
      <c r="DL9" s="469">
        <f>2329.34+83305.99</f>
        <v>85635.33</v>
      </c>
      <c r="DM9" s="469">
        <v>84572.39</v>
      </c>
      <c r="DN9" s="469">
        <v>80765.41</v>
      </c>
      <c r="DO9" s="469">
        <v>85453.17</v>
      </c>
      <c r="DP9" s="469">
        <v>77789.960000000006</v>
      </c>
      <c r="DQ9" s="469">
        <v>94513.36</v>
      </c>
      <c r="DR9" s="469">
        <v>108516.31</v>
      </c>
      <c r="DS9" s="469"/>
      <c r="DT9" s="907">
        <f t="shared" si="6"/>
        <v>1063571.3</v>
      </c>
    </row>
    <row r="10" spans="1:125" s="469" customFormat="1" ht="48" x14ac:dyDescent="0.2">
      <c r="A10" s="972"/>
      <c r="B10" s="973"/>
      <c r="C10" s="972"/>
      <c r="D10" s="972"/>
      <c r="E10" s="469">
        <v>5907</v>
      </c>
      <c r="F10" s="469" t="s">
        <v>433</v>
      </c>
      <c r="G10" s="469" t="s">
        <v>49</v>
      </c>
      <c r="H10" s="608" t="s">
        <v>328</v>
      </c>
      <c r="I10" s="608" t="s">
        <v>434</v>
      </c>
      <c r="J10" s="609">
        <v>44169</v>
      </c>
      <c r="K10" s="609">
        <v>45264</v>
      </c>
      <c r="L10" s="741">
        <v>1359478.63</v>
      </c>
      <c r="M10" s="612"/>
      <c r="N10" s="612">
        <f t="shared" si="11"/>
        <v>0</v>
      </c>
      <c r="O10" s="612">
        <f t="shared" si="12"/>
        <v>0</v>
      </c>
      <c r="P10" s="612">
        <f t="shared" si="13"/>
        <v>1359478.63</v>
      </c>
      <c r="Q10" s="612">
        <f t="shared" si="14"/>
        <v>0</v>
      </c>
      <c r="R10" s="612">
        <f t="shared" si="15"/>
        <v>258081.81</v>
      </c>
      <c r="S10" s="612">
        <f t="shared" si="16"/>
        <v>258081.81</v>
      </c>
      <c r="T10" s="612">
        <f t="shared" si="17"/>
        <v>1101396.8199999998</v>
      </c>
      <c r="U10" s="612">
        <f t="shared" si="18"/>
        <v>258081.81</v>
      </c>
      <c r="V10" s="612">
        <f t="shared" si="19"/>
        <v>0</v>
      </c>
      <c r="W10" s="612">
        <f t="shared" si="20"/>
        <v>258081.81</v>
      </c>
      <c r="X10" s="612">
        <f t="shared" si="21"/>
        <v>1101396.8199999998</v>
      </c>
      <c r="Y10" s="612">
        <f t="shared" si="1"/>
        <v>258081.81</v>
      </c>
      <c r="Z10" s="612">
        <f t="shared" si="22"/>
        <v>221310.68999999997</v>
      </c>
      <c r="AA10" s="612">
        <f t="shared" si="7"/>
        <v>479392.5</v>
      </c>
      <c r="AB10" s="612">
        <f t="shared" si="23"/>
        <v>880086.12999999989</v>
      </c>
      <c r="AC10" s="612">
        <f t="shared" si="2"/>
        <v>479392.5</v>
      </c>
      <c r="AD10" s="612">
        <f t="shared" si="3"/>
        <v>556786.67000000004</v>
      </c>
      <c r="AE10" s="612">
        <f t="shared" si="4"/>
        <v>1036179.17</v>
      </c>
      <c r="AF10" s="612">
        <f t="shared" si="5"/>
        <v>880086.12999999989</v>
      </c>
      <c r="AG10" s="612"/>
      <c r="AH10" s="612"/>
      <c r="AI10" s="612"/>
      <c r="AJ10" s="612"/>
      <c r="AK10" s="679">
        <v>0</v>
      </c>
      <c r="AL10" s="617">
        <v>36</v>
      </c>
      <c r="AM10" s="617" t="s">
        <v>1304</v>
      </c>
      <c r="AN10" s="617">
        <v>0</v>
      </c>
      <c r="AO10" s="617">
        <v>0</v>
      </c>
      <c r="AP10" s="617" t="s">
        <v>53</v>
      </c>
      <c r="AQ10" s="617" t="s">
        <v>53</v>
      </c>
      <c r="AR10" s="617" t="s">
        <v>53</v>
      </c>
      <c r="AS10" s="617" t="s">
        <v>54</v>
      </c>
      <c r="AT10" s="608" t="s">
        <v>70</v>
      </c>
      <c r="AU10" s="618"/>
      <c r="AV10" s="618"/>
      <c r="AW10" s="618"/>
      <c r="AX10" s="618"/>
      <c r="AY10" s="618"/>
      <c r="AZ10" s="618"/>
      <c r="BA10" s="618"/>
      <c r="BB10" s="618"/>
      <c r="BC10" s="618"/>
      <c r="BD10" s="618"/>
      <c r="BE10" s="618"/>
      <c r="BF10" s="618"/>
      <c r="BG10" s="620">
        <f t="shared" si="24"/>
        <v>0</v>
      </c>
      <c r="BH10" s="618"/>
      <c r="BI10" s="618"/>
      <c r="BJ10" s="618"/>
      <c r="BK10" s="618"/>
      <c r="BL10" s="618"/>
      <c r="BM10" s="618">
        <v>0</v>
      </c>
      <c r="BN10" s="618">
        <v>0</v>
      </c>
      <c r="BO10" s="618">
        <v>37763.22</v>
      </c>
      <c r="BP10" s="618">
        <v>37763.22</v>
      </c>
      <c r="BQ10" s="618">
        <v>37763.22</v>
      </c>
      <c r="BR10" s="618">
        <v>76052.77</v>
      </c>
      <c r="BS10" s="618">
        <v>68739.38</v>
      </c>
      <c r="BT10" s="620">
        <f t="shared" si="25"/>
        <v>258081.81</v>
      </c>
      <c r="BU10" s="618"/>
      <c r="BV10" s="618"/>
      <c r="BW10" s="618"/>
      <c r="BX10" s="618"/>
      <c r="BY10" s="618"/>
      <c r="BZ10" s="618"/>
      <c r="CA10" s="618"/>
      <c r="CB10" s="618"/>
      <c r="CC10" s="618"/>
      <c r="CD10" s="618"/>
      <c r="CE10" s="618"/>
      <c r="CF10" s="618"/>
      <c r="CG10" s="620">
        <f t="shared" si="8"/>
        <v>0</v>
      </c>
      <c r="CH10" s="547">
        <v>18953.64</v>
      </c>
      <c r="CI10" s="547">
        <v>16907.43</v>
      </c>
      <c r="CJ10" s="547">
        <v>9322.7999999999993</v>
      </c>
      <c r="CK10" s="547">
        <v>20643.97</v>
      </c>
      <c r="CL10" s="547">
        <v>18143.93</v>
      </c>
      <c r="CM10" s="547">
        <v>17051.8</v>
      </c>
      <c r="CN10" s="547">
        <v>13765.98</v>
      </c>
      <c r="CO10" s="547">
        <v>13765.98</v>
      </c>
      <c r="CP10" s="547">
        <v>21670.29</v>
      </c>
      <c r="CQ10" s="547">
        <v>26629.65</v>
      </c>
      <c r="CR10" s="547">
        <v>18726.12</v>
      </c>
      <c r="CS10" s="547">
        <v>25729.1</v>
      </c>
      <c r="CT10" s="547">
        <f t="shared" si="10"/>
        <v>221310.68999999997</v>
      </c>
      <c r="CU10" s="974">
        <v>38518.47</v>
      </c>
      <c r="CV10" s="974">
        <v>38518.47</v>
      </c>
      <c r="CW10" s="974">
        <v>38518.47</v>
      </c>
      <c r="CX10" s="974">
        <v>38518.47</v>
      </c>
      <c r="CY10" s="974">
        <v>38518.47</v>
      </c>
      <c r="CZ10" s="974">
        <v>38518.46</v>
      </c>
      <c r="DA10" s="974">
        <v>38518.480000000003</v>
      </c>
      <c r="DB10" s="974">
        <v>38518.47</v>
      </c>
      <c r="DC10" s="974">
        <v>38518.47</v>
      </c>
      <c r="DD10" s="974">
        <v>66726.45</v>
      </c>
      <c r="DE10" s="974">
        <v>66726.45</v>
      </c>
      <c r="DF10" s="974">
        <v>76667.539999999994</v>
      </c>
      <c r="DG10" s="469">
        <f t="shared" si="0"/>
        <v>556786.67000000004</v>
      </c>
      <c r="DH10" s="469">
        <v>84895.6</v>
      </c>
      <c r="DL10" s="469">
        <v>2329.34</v>
      </c>
      <c r="DT10" s="907">
        <f t="shared" si="6"/>
        <v>87224.94</v>
      </c>
      <c r="DU10" s="975"/>
    </row>
    <row r="11" spans="1:125" s="624" customFormat="1" ht="48.75" thickBot="1" x14ac:dyDescent="0.25">
      <c r="A11" s="907" t="s">
        <v>439</v>
      </c>
      <c r="B11" s="934" t="s">
        <v>107</v>
      </c>
      <c r="C11" s="907" t="s">
        <v>440</v>
      </c>
      <c r="D11" s="907" t="s">
        <v>441</v>
      </c>
      <c r="E11" s="907"/>
      <c r="F11" s="907" t="s">
        <v>454</v>
      </c>
      <c r="G11" s="907" t="s">
        <v>49</v>
      </c>
      <c r="H11" s="934" t="s">
        <v>328</v>
      </c>
      <c r="I11" s="934" t="s">
        <v>443</v>
      </c>
      <c r="J11" s="935">
        <v>44285</v>
      </c>
      <c r="K11" s="935">
        <v>45381</v>
      </c>
      <c r="L11" s="936">
        <v>27934530.120000001</v>
      </c>
      <c r="M11" s="937"/>
      <c r="N11" s="938">
        <f t="shared" si="11"/>
        <v>0</v>
      </c>
      <c r="O11" s="938">
        <f t="shared" si="12"/>
        <v>0</v>
      </c>
      <c r="P11" s="939">
        <f t="shared" si="13"/>
        <v>27934530.120000001</v>
      </c>
      <c r="Q11" s="937">
        <f t="shared" si="14"/>
        <v>0</v>
      </c>
      <c r="R11" s="938">
        <f t="shared" si="15"/>
        <v>0</v>
      </c>
      <c r="S11" s="938">
        <f t="shared" si="16"/>
        <v>0</v>
      </c>
      <c r="T11" s="939">
        <f t="shared" si="17"/>
        <v>27934530.120000001</v>
      </c>
      <c r="U11" s="937">
        <f t="shared" si="18"/>
        <v>0</v>
      </c>
      <c r="V11" s="938">
        <f t="shared" si="19"/>
        <v>0</v>
      </c>
      <c r="W11" s="938">
        <f t="shared" si="20"/>
        <v>0</v>
      </c>
      <c r="X11" s="940">
        <f t="shared" si="21"/>
        <v>27934530.120000001</v>
      </c>
      <c r="Y11" s="937">
        <f t="shared" si="1"/>
        <v>0</v>
      </c>
      <c r="Z11" s="938">
        <f t="shared" si="22"/>
        <v>4635329.3000000007</v>
      </c>
      <c r="AA11" s="938">
        <f t="shared" si="7"/>
        <v>4635329.3000000007</v>
      </c>
      <c r="AB11" s="939">
        <f t="shared" si="23"/>
        <v>23299200.82</v>
      </c>
      <c r="AC11" s="941">
        <f t="shared" si="2"/>
        <v>4635329.3000000007</v>
      </c>
      <c r="AD11" s="941">
        <f t="shared" si="3"/>
        <v>4964056.1800000006</v>
      </c>
      <c r="AE11" s="941">
        <f t="shared" si="4"/>
        <v>9599385.4800000004</v>
      </c>
      <c r="AF11" s="941">
        <f t="shared" si="5"/>
        <v>23299200.82</v>
      </c>
      <c r="AG11" s="941"/>
      <c r="AH11" s="941"/>
      <c r="AI11" s="941"/>
      <c r="AJ11" s="941"/>
      <c r="AK11" s="942">
        <v>0</v>
      </c>
      <c r="AL11" s="698">
        <v>36</v>
      </c>
      <c r="AM11" s="698" t="s">
        <v>1304</v>
      </c>
      <c r="AN11" s="698">
        <v>0</v>
      </c>
      <c r="AO11" s="698">
        <v>0</v>
      </c>
      <c r="AP11" s="698" t="s">
        <v>53</v>
      </c>
      <c r="AQ11" s="698" t="s">
        <v>53</v>
      </c>
      <c r="AR11" s="698" t="s">
        <v>53</v>
      </c>
      <c r="AS11" s="698" t="s">
        <v>54</v>
      </c>
      <c r="AT11" s="934" t="s">
        <v>70</v>
      </c>
      <c r="AU11" s="943"/>
      <c r="AV11" s="943"/>
      <c r="AW11" s="943"/>
      <c r="AX11" s="943"/>
      <c r="AY11" s="943"/>
      <c r="AZ11" s="943"/>
      <c r="BA11" s="943"/>
      <c r="BB11" s="944"/>
      <c r="BC11" s="943"/>
      <c r="BD11" s="943"/>
      <c r="BE11" s="943"/>
      <c r="BF11" s="943"/>
      <c r="BG11" s="945">
        <f t="shared" si="24"/>
        <v>0</v>
      </c>
      <c r="BH11" s="943"/>
      <c r="BI11" s="943"/>
      <c r="BJ11" s="943"/>
      <c r="BK11" s="943"/>
      <c r="BL11" s="943"/>
      <c r="BM11" s="943"/>
      <c r="BN11" s="943"/>
      <c r="BO11" s="943"/>
      <c r="BP11" s="943"/>
      <c r="BQ11" s="943"/>
      <c r="BR11" s="943"/>
      <c r="BS11" s="943"/>
      <c r="BT11" s="945">
        <f t="shared" si="25"/>
        <v>0</v>
      </c>
      <c r="BU11" s="943"/>
      <c r="BV11" s="943"/>
      <c r="BW11" s="943"/>
      <c r="BX11" s="943"/>
      <c r="BY11" s="943"/>
      <c r="BZ11" s="943"/>
      <c r="CA11" s="943"/>
      <c r="CB11" s="943"/>
      <c r="CC11" s="943"/>
      <c r="CD11" s="943"/>
      <c r="CE11" s="943"/>
      <c r="CF11" s="943"/>
      <c r="CG11" s="946">
        <f t="shared" si="8"/>
        <v>0</v>
      </c>
      <c r="CH11" s="947">
        <v>386254.94</v>
      </c>
      <c r="CI11" s="948">
        <v>386254.94</v>
      </c>
      <c r="CJ11" s="948">
        <v>386254.94</v>
      </c>
      <c r="CK11" s="948">
        <v>386254.96</v>
      </c>
      <c r="CL11" s="948">
        <v>386254.94</v>
      </c>
      <c r="CM11" s="948">
        <v>386524.94</v>
      </c>
      <c r="CN11" s="624">
        <v>386254.94</v>
      </c>
      <c r="CO11" s="948">
        <v>386254.94</v>
      </c>
      <c r="CP11" s="948">
        <v>386254.94</v>
      </c>
      <c r="CQ11" s="948">
        <v>386254.94</v>
      </c>
      <c r="CR11" s="948">
        <v>386254.94</v>
      </c>
      <c r="CS11" s="948">
        <v>386254.94</v>
      </c>
      <c r="CT11" s="949">
        <f t="shared" si="10"/>
        <v>4635329.3000000007</v>
      </c>
      <c r="CU11" s="907">
        <v>386254.94</v>
      </c>
      <c r="CV11" s="907">
        <f>386254.94+23498.47</f>
        <v>409753.41000000003</v>
      </c>
      <c r="CW11" s="907">
        <v>386254.94</v>
      </c>
      <c r="CX11" s="907">
        <f>281999.96+23498.47</f>
        <v>305498.43000000005</v>
      </c>
      <c r="CY11" s="907">
        <v>386254.94</v>
      </c>
      <c r="CZ11" s="907">
        <f>386254.94+386254.94</f>
        <v>772509.88</v>
      </c>
      <c r="DA11" s="907">
        <v>386254.94</v>
      </c>
      <c r="DB11" s="907">
        <v>386254.94</v>
      </c>
      <c r="DC11" s="907">
        <v>386254.94</v>
      </c>
      <c r="DD11" s="907">
        <v>386254.94</v>
      </c>
      <c r="DE11" s="907">
        <v>386254.94</v>
      </c>
      <c r="DF11" s="907">
        <v>386254.94</v>
      </c>
      <c r="DG11" s="907">
        <f>SUM(CU11:DF11)</f>
        <v>4964056.1800000006</v>
      </c>
      <c r="DH11" s="469">
        <v>386254.94</v>
      </c>
      <c r="DI11" s="469"/>
      <c r="DJ11" s="469">
        <f>386254.94+386254.94</f>
        <v>772509.88</v>
      </c>
      <c r="DK11" s="469">
        <v>386254.94</v>
      </c>
      <c r="DL11" s="469"/>
      <c r="DM11" s="469">
        <v>386254.54</v>
      </c>
      <c r="DN11" s="469">
        <f>386254.94+386254.94</f>
        <v>772509.88</v>
      </c>
      <c r="DO11" s="469">
        <v>386254.94</v>
      </c>
      <c r="DP11" s="469">
        <v>386254.94</v>
      </c>
      <c r="DQ11" s="469">
        <v>386254.94</v>
      </c>
      <c r="DR11" s="469"/>
      <c r="DS11" s="469">
        <f>386254.94+386254.94</f>
        <v>772509.88</v>
      </c>
      <c r="DT11" s="907">
        <f t="shared" si="6"/>
        <v>4635058.88</v>
      </c>
    </row>
    <row r="12" spans="1:125" s="624" customFormat="1" ht="48" x14ac:dyDescent="0.2">
      <c r="A12" s="469" t="s">
        <v>439</v>
      </c>
      <c r="B12" s="608" t="s">
        <v>107</v>
      </c>
      <c r="C12" s="469" t="s">
        <v>440</v>
      </c>
      <c r="D12" s="469" t="s">
        <v>444</v>
      </c>
      <c r="E12" s="469"/>
      <c r="F12" s="469" t="s">
        <v>445</v>
      </c>
      <c r="G12" s="469" t="s">
        <v>49</v>
      </c>
      <c r="H12" s="608" t="s">
        <v>328</v>
      </c>
      <c r="I12" s="608" t="s">
        <v>443</v>
      </c>
      <c r="J12" s="609">
        <v>44285</v>
      </c>
      <c r="K12" s="609">
        <v>45381</v>
      </c>
      <c r="L12" s="610">
        <v>27120500</v>
      </c>
      <c r="M12" s="611"/>
      <c r="N12" s="612">
        <f t="shared" si="11"/>
        <v>0</v>
      </c>
      <c r="O12" s="612">
        <f t="shared" si="12"/>
        <v>0</v>
      </c>
      <c r="P12" s="613">
        <f t="shared" si="13"/>
        <v>27120500</v>
      </c>
      <c r="Q12" s="611">
        <f t="shared" si="14"/>
        <v>0</v>
      </c>
      <c r="R12" s="612">
        <f t="shared" si="15"/>
        <v>0</v>
      </c>
      <c r="S12" s="612">
        <f t="shared" si="16"/>
        <v>0</v>
      </c>
      <c r="T12" s="613">
        <f t="shared" si="17"/>
        <v>27120500</v>
      </c>
      <c r="U12" s="611">
        <f t="shared" si="18"/>
        <v>0</v>
      </c>
      <c r="V12" s="612">
        <f t="shared" si="19"/>
        <v>0</v>
      </c>
      <c r="W12" s="612">
        <f t="shared" si="20"/>
        <v>0</v>
      </c>
      <c r="X12" s="614">
        <f t="shared" si="21"/>
        <v>27120500</v>
      </c>
      <c r="Y12" s="611">
        <f t="shared" si="1"/>
        <v>0</v>
      </c>
      <c r="Z12" s="612">
        <f t="shared" si="22"/>
        <v>4060230.0399999991</v>
      </c>
      <c r="AA12" s="612">
        <f t="shared" si="7"/>
        <v>4060230.0399999991</v>
      </c>
      <c r="AB12" s="613">
        <f t="shared" si="23"/>
        <v>23060269.960000001</v>
      </c>
      <c r="AC12" s="615">
        <f t="shared" si="2"/>
        <v>4060230.0399999991</v>
      </c>
      <c r="AD12" s="615">
        <f t="shared" si="3"/>
        <v>4531833.8499999987</v>
      </c>
      <c r="AE12" s="615">
        <f t="shared" si="4"/>
        <v>8592063.8899999969</v>
      </c>
      <c r="AF12" s="615">
        <f t="shared" si="5"/>
        <v>23060269.960000001</v>
      </c>
      <c r="AG12" s="615"/>
      <c r="AH12" s="615"/>
      <c r="AI12" s="615"/>
      <c r="AJ12" s="615"/>
      <c r="AK12" s="616">
        <v>0</v>
      </c>
      <c r="AL12" s="617">
        <v>36</v>
      </c>
      <c r="AM12" s="617" t="s">
        <v>1304</v>
      </c>
      <c r="AN12" s="617">
        <v>0</v>
      </c>
      <c r="AO12" s="617">
        <v>0</v>
      </c>
      <c r="AP12" s="617" t="s">
        <v>53</v>
      </c>
      <c r="AQ12" s="617" t="s">
        <v>53</v>
      </c>
      <c r="AR12" s="617" t="s">
        <v>53</v>
      </c>
      <c r="AS12" s="617" t="s">
        <v>54</v>
      </c>
      <c r="AT12" s="608" t="s">
        <v>70</v>
      </c>
      <c r="AU12" s="618"/>
      <c r="AV12" s="618"/>
      <c r="AW12" s="618"/>
      <c r="AX12" s="618"/>
      <c r="AY12" s="618"/>
      <c r="AZ12" s="618"/>
      <c r="BA12" s="618"/>
      <c r="BB12" s="619"/>
      <c r="BC12" s="618"/>
      <c r="BD12" s="618"/>
      <c r="BE12" s="618"/>
      <c r="BF12" s="618"/>
      <c r="BG12" s="620">
        <f t="shared" si="24"/>
        <v>0</v>
      </c>
      <c r="BH12" s="618"/>
      <c r="BI12" s="618"/>
      <c r="BJ12" s="618"/>
      <c r="BK12" s="618"/>
      <c r="BL12" s="618"/>
      <c r="BM12" s="618"/>
      <c r="BN12" s="618"/>
      <c r="BO12" s="618"/>
      <c r="BP12" s="618"/>
      <c r="BQ12" s="618"/>
      <c r="BR12" s="618"/>
      <c r="BS12" s="618"/>
      <c r="BT12" s="620">
        <f t="shared" si="25"/>
        <v>0</v>
      </c>
      <c r="BU12" s="618"/>
      <c r="BV12" s="618"/>
      <c r="BW12" s="618"/>
      <c r="BX12" s="618"/>
      <c r="BY12" s="618"/>
      <c r="BZ12" s="618"/>
      <c r="CA12" s="618"/>
      <c r="CB12" s="618"/>
      <c r="CC12" s="618"/>
      <c r="CD12" s="618"/>
      <c r="CE12" s="618"/>
      <c r="CF12" s="618"/>
      <c r="CG12" s="621">
        <f t="shared" si="8"/>
        <v>0</v>
      </c>
      <c r="CH12" s="622">
        <v>331177</v>
      </c>
      <c r="CI12" s="547">
        <v>331177</v>
      </c>
      <c r="CJ12" s="547">
        <v>331177</v>
      </c>
      <c r="CK12" s="547">
        <v>331177</v>
      </c>
      <c r="CL12" s="547">
        <v>331177</v>
      </c>
      <c r="CM12" s="547">
        <v>331177</v>
      </c>
      <c r="CN12" s="547">
        <v>331177</v>
      </c>
      <c r="CO12" s="547">
        <v>331177</v>
      </c>
      <c r="CP12" s="547">
        <v>352703.51</v>
      </c>
      <c r="CQ12" s="547">
        <v>352703.51</v>
      </c>
      <c r="CR12" s="547">
        <v>352703.51</v>
      </c>
      <c r="CS12" s="547">
        <v>352703.51</v>
      </c>
      <c r="CT12" s="623">
        <f t="shared" si="10"/>
        <v>4060230.0399999991</v>
      </c>
      <c r="CU12" s="469">
        <v>352703.5</v>
      </c>
      <c r="CV12" s="469">
        <v>352703.5</v>
      </c>
      <c r="CW12" s="469">
        <v>352703.5</v>
      </c>
      <c r="CX12" s="469">
        <v>352703.5</v>
      </c>
      <c r="CY12" s="469">
        <v>352703.51</v>
      </c>
      <c r="CZ12" s="469">
        <f>352703.5+113850</f>
        <v>466553.5</v>
      </c>
      <c r="DA12" s="469">
        <v>352703.51</v>
      </c>
      <c r="DB12" s="469">
        <v>352703.51</v>
      </c>
      <c r="DC12" s="469">
        <v>352703.51</v>
      </c>
      <c r="DD12" s="469">
        <f>352703.51+22080</f>
        <v>374783.51</v>
      </c>
      <c r="DE12" s="469">
        <v>375629.12</v>
      </c>
      <c r="DF12" s="469">
        <f>22080+64239+406920.68</f>
        <v>493239.68</v>
      </c>
      <c r="DG12" s="469">
        <f t="shared" si="0"/>
        <v>4531833.8499999987</v>
      </c>
      <c r="DH12" s="469">
        <v>375627.59</v>
      </c>
      <c r="DI12" s="469">
        <v>375627.59</v>
      </c>
      <c r="DJ12" s="469">
        <v>375627.59</v>
      </c>
      <c r="DK12" s="469">
        <v>375627.8</v>
      </c>
      <c r="DL12" s="469">
        <v>375627.59</v>
      </c>
      <c r="DM12" s="469">
        <v>375627.59</v>
      </c>
      <c r="DN12" s="469">
        <v>375627.59</v>
      </c>
      <c r="DO12" s="469">
        <v>375627.8</v>
      </c>
      <c r="DP12" s="469">
        <v>375627.8</v>
      </c>
      <c r="DQ12" s="469">
        <v>375627.8</v>
      </c>
      <c r="DR12" s="469">
        <v>375627.8</v>
      </c>
      <c r="DS12" s="469">
        <v>375627.8</v>
      </c>
      <c r="DT12" s="907">
        <f t="shared" si="6"/>
        <v>4507532.3399999989</v>
      </c>
    </row>
    <row r="13" spans="1:125" s="624" customFormat="1" ht="12.75" thickBot="1" x14ac:dyDescent="0.25">
      <c r="A13" s="664" t="s">
        <v>439</v>
      </c>
      <c r="B13" s="745" t="s">
        <v>107</v>
      </c>
      <c r="C13" s="664" t="s">
        <v>440</v>
      </c>
      <c r="D13" s="664" t="s">
        <v>446</v>
      </c>
      <c r="E13" s="664"/>
      <c r="F13" s="664" t="s">
        <v>447</v>
      </c>
      <c r="G13" s="664" t="s">
        <v>49</v>
      </c>
      <c r="H13" s="745" t="s">
        <v>328</v>
      </c>
      <c r="I13" s="745" t="s">
        <v>443</v>
      </c>
      <c r="J13" s="715">
        <v>44285</v>
      </c>
      <c r="K13" s="715">
        <v>45381</v>
      </c>
      <c r="L13" s="950">
        <v>26392500</v>
      </c>
      <c r="M13" s="951"/>
      <c r="N13" s="709">
        <f t="shared" si="11"/>
        <v>0</v>
      </c>
      <c r="O13" s="709">
        <f t="shared" si="12"/>
        <v>0</v>
      </c>
      <c r="P13" s="952">
        <f t="shared" si="13"/>
        <v>26392500</v>
      </c>
      <c r="Q13" s="951">
        <f t="shared" si="14"/>
        <v>0</v>
      </c>
      <c r="R13" s="709">
        <f t="shared" si="15"/>
        <v>0</v>
      </c>
      <c r="S13" s="709">
        <f t="shared" si="16"/>
        <v>0</v>
      </c>
      <c r="T13" s="952">
        <f t="shared" si="17"/>
        <v>26392500</v>
      </c>
      <c r="U13" s="951">
        <f t="shared" si="18"/>
        <v>0</v>
      </c>
      <c r="V13" s="709">
        <f t="shared" si="19"/>
        <v>634730.78</v>
      </c>
      <c r="W13" s="709">
        <f t="shared" si="20"/>
        <v>634730.78</v>
      </c>
      <c r="X13" s="953">
        <f t="shared" si="21"/>
        <v>25757769.219999999</v>
      </c>
      <c r="Y13" s="951">
        <f t="shared" si="1"/>
        <v>634730.78</v>
      </c>
      <c r="Z13" s="709">
        <f t="shared" si="22"/>
        <v>3808384.6800000011</v>
      </c>
      <c r="AA13" s="709">
        <f t="shared" si="7"/>
        <v>4443115.4600000009</v>
      </c>
      <c r="AB13" s="952">
        <f t="shared" si="23"/>
        <v>21949384.539999999</v>
      </c>
      <c r="AC13" s="954">
        <f t="shared" si="2"/>
        <v>4443115.4600000009</v>
      </c>
      <c r="AD13" s="954">
        <f t="shared" si="3"/>
        <v>6014162.4139999999</v>
      </c>
      <c r="AE13" s="954">
        <f t="shared" si="4"/>
        <v>10457277.874000002</v>
      </c>
      <c r="AF13" s="954">
        <f t="shared" si="5"/>
        <v>21949384.539999999</v>
      </c>
      <c r="AG13" s="954"/>
      <c r="AH13" s="954"/>
      <c r="AI13" s="954"/>
      <c r="AJ13" s="954"/>
      <c r="AK13" s="955">
        <v>0</v>
      </c>
      <c r="AL13" s="637">
        <v>36</v>
      </c>
      <c r="AM13" s="637" t="s">
        <v>1304</v>
      </c>
      <c r="AN13" s="637">
        <v>0</v>
      </c>
      <c r="AO13" s="637">
        <v>0</v>
      </c>
      <c r="AP13" s="637" t="s">
        <v>53</v>
      </c>
      <c r="AQ13" s="637" t="s">
        <v>53</v>
      </c>
      <c r="AR13" s="637" t="s">
        <v>53</v>
      </c>
      <c r="AS13" s="637" t="s">
        <v>54</v>
      </c>
      <c r="AT13" s="745"/>
      <c r="AU13" s="667"/>
      <c r="AV13" s="667"/>
      <c r="AW13" s="667"/>
      <c r="AX13" s="667"/>
      <c r="AY13" s="667"/>
      <c r="AZ13" s="667"/>
      <c r="BA13" s="667"/>
      <c r="BB13" s="956"/>
      <c r="BC13" s="667"/>
      <c r="BD13" s="667"/>
      <c r="BE13" s="667"/>
      <c r="BF13" s="667"/>
      <c r="BG13" s="749">
        <f t="shared" si="24"/>
        <v>0</v>
      </c>
      <c r="BH13" s="667"/>
      <c r="BI13" s="667"/>
      <c r="BJ13" s="667"/>
      <c r="BK13" s="667"/>
      <c r="BL13" s="667"/>
      <c r="BM13" s="667"/>
      <c r="BN13" s="667"/>
      <c r="BO13" s="667"/>
      <c r="BP13" s="667"/>
      <c r="BQ13" s="667"/>
      <c r="BR13" s="667"/>
      <c r="BS13" s="667"/>
      <c r="BT13" s="749">
        <f t="shared" si="25"/>
        <v>0</v>
      </c>
      <c r="BU13" s="667"/>
      <c r="BV13" s="667"/>
      <c r="BW13" s="667"/>
      <c r="BX13" s="667"/>
      <c r="BY13" s="667"/>
      <c r="BZ13" s="667"/>
      <c r="CA13" s="667"/>
      <c r="CB13" s="667"/>
      <c r="CC13" s="667"/>
      <c r="CD13" s="667"/>
      <c r="CE13" s="667">
        <v>317365.39</v>
      </c>
      <c r="CF13" s="667">
        <v>317365.39</v>
      </c>
      <c r="CG13" s="957">
        <f t="shared" si="8"/>
        <v>634730.78</v>
      </c>
      <c r="CH13" s="958">
        <v>317365.39</v>
      </c>
      <c r="CI13" s="401">
        <v>317365.39</v>
      </c>
      <c r="CJ13" s="401">
        <v>317365.39</v>
      </c>
      <c r="CK13" s="401">
        <v>317365.39</v>
      </c>
      <c r="CL13" s="401">
        <v>317365.39</v>
      </c>
      <c r="CM13" s="401">
        <v>317365.39</v>
      </c>
      <c r="CN13" s="401">
        <v>317365.39</v>
      </c>
      <c r="CO13" s="401">
        <v>317365.39</v>
      </c>
      <c r="CP13" s="401">
        <v>317365.39</v>
      </c>
      <c r="CQ13" s="401">
        <v>317365.39</v>
      </c>
      <c r="CR13" s="401">
        <v>317365.39</v>
      </c>
      <c r="CS13" s="401">
        <v>317365.39</v>
      </c>
      <c r="CT13" s="959">
        <f t="shared" si="10"/>
        <v>3808384.6800000011</v>
      </c>
      <c r="CU13" s="664">
        <v>524365.38500000001</v>
      </c>
      <c r="CV13" s="664">
        <v>666288.12</v>
      </c>
      <c r="CW13" s="664">
        <v>472707.39</v>
      </c>
      <c r="CX13" s="664">
        <v>472707.39</v>
      </c>
      <c r="CY13" s="664">
        <v>472707.39</v>
      </c>
      <c r="CZ13" s="664">
        <v>555476.31000000006</v>
      </c>
      <c r="DA13" s="664">
        <v>472707.39</v>
      </c>
      <c r="DB13" s="664">
        <v>472707.39</v>
      </c>
      <c r="DC13" s="664">
        <v>472707.39</v>
      </c>
      <c r="DD13" s="664">
        <v>478572.39</v>
      </c>
      <c r="DE13" s="664">
        <v>472707.39</v>
      </c>
      <c r="DF13" s="664">
        <v>480508.47899999999</v>
      </c>
      <c r="DG13" s="664">
        <f t="shared" si="0"/>
        <v>6014162.4139999999</v>
      </c>
      <c r="DH13" s="469">
        <f>380458.5+100050</f>
        <v>480508.5</v>
      </c>
      <c r="DI13" s="469">
        <f>380458.5+100050</f>
        <v>480508.5</v>
      </c>
      <c r="DJ13" s="469">
        <f>380458.5+100050</f>
        <v>480508.5</v>
      </c>
      <c r="DK13" s="469">
        <f>380458.5+100050</f>
        <v>480508.5</v>
      </c>
      <c r="DL13" s="469">
        <f>380458.48+100050</f>
        <v>480508.48</v>
      </c>
      <c r="DM13" s="469">
        <f>380458.48+100050</f>
        <v>480508.48</v>
      </c>
      <c r="DN13" s="469">
        <f>380458.48+100050</f>
        <v>480508.48</v>
      </c>
      <c r="DO13" s="469">
        <f>380458.5+100050</f>
        <v>480508.5</v>
      </c>
      <c r="DP13" s="469">
        <f>380458.5+100050</f>
        <v>480508.5</v>
      </c>
      <c r="DQ13" s="469">
        <f>380458.5+100050</f>
        <v>480508.5</v>
      </c>
      <c r="DR13" s="469">
        <f>380458.5+100050</f>
        <v>480508.5</v>
      </c>
      <c r="DS13" s="469">
        <f>380458.5+100050</f>
        <v>480508.5</v>
      </c>
      <c r="DT13" s="907">
        <f t="shared" si="6"/>
        <v>5766101.9399999995</v>
      </c>
    </row>
    <row r="14" spans="1:125" ht="48.75" hidden="1" thickBot="1" x14ac:dyDescent="0.25">
      <c r="A14" s="4" t="s">
        <v>439</v>
      </c>
      <c r="B14" s="33" t="s">
        <v>107</v>
      </c>
      <c r="C14" s="1" t="s">
        <v>440</v>
      </c>
      <c r="D14" s="1" t="s">
        <v>448</v>
      </c>
      <c r="E14" s="1"/>
      <c r="F14" s="1" t="s">
        <v>449</v>
      </c>
      <c r="G14" s="1" t="s">
        <v>49</v>
      </c>
      <c r="H14" s="33" t="s">
        <v>328</v>
      </c>
      <c r="I14" s="33" t="s">
        <v>443</v>
      </c>
      <c r="J14" s="58">
        <v>44285</v>
      </c>
      <c r="K14" s="58">
        <v>45381</v>
      </c>
      <c r="L14" s="195">
        <v>25978030.52</v>
      </c>
      <c r="M14" s="135"/>
      <c r="N14" s="136">
        <f t="shared" si="11"/>
        <v>0</v>
      </c>
      <c r="O14" s="136">
        <f t="shared" si="12"/>
        <v>0</v>
      </c>
      <c r="P14" s="137">
        <f t="shared" si="13"/>
        <v>25978030.52</v>
      </c>
      <c r="Q14" s="135">
        <f t="shared" si="14"/>
        <v>0</v>
      </c>
      <c r="R14" s="136">
        <f t="shared" si="15"/>
        <v>38260.89</v>
      </c>
      <c r="S14" s="136">
        <f t="shared" si="16"/>
        <v>38260.89</v>
      </c>
      <c r="T14" s="137">
        <f t="shared" si="17"/>
        <v>25939769.629999999</v>
      </c>
      <c r="U14" s="135">
        <f t="shared" si="18"/>
        <v>38260.89</v>
      </c>
      <c r="V14" s="136">
        <f t="shared" si="19"/>
        <v>0</v>
      </c>
      <c r="W14" s="136">
        <f t="shared" si="20"/>
        <v>38260.89</v>
      </c>
      <c r="X14" s="207">
        <f t="shared" si="21"/>
        <v>25939769.629999999</v>
      </c>
      <c r="Y14" s="135">
        <f t="shared" si="1"/>
        <v>38260.89</v>
      </c>
      <c r="Z14" s="136">
        <f t="shared" si="22"/>
        <v>0</v>
      </c>
      <c r="AA14" s="136">
        <f t="shared" si="7"/>
        <v>38260.89</v>
      </c>
      <c r="AB14" s="137">
        <f t="shared" si="23"/>
        <v>25939769.629999999</v>
      </c>
      <c r="AC14" s="362">
        <f t="shared" si="2"/>
        <v>38260.89</v>
      </c>
      <c r="AD14" s="362">
        <f t="shared" si="3"/>
        <v>0</v>
      </c>
      <c r="AE14" s="362">
        <f t="shared" si="4"/>
        <v>38260.89</v>
      </c>
      <c r="AF14" s="362">
        <f t="shared" si="5"/>
        <v>25939769.629999999</v>
      </c>
      <c r="AG14" s="362"/>
      <c r="AH14" s="362"/>
      <c r="AI14" s="362"/>
      <c r="AJ14" s="362"/>
      <c r="AK14" s="171">
        <v>0</v>
      </c>
      <c r="AL14" s="46">
        <v>36</v>
      </c>
      <c r="AM14" s="46" t="s">
        <v>1304</v>
      </c>
      <c r="AN14" s="46">
        <v>0</v>
      </c>
      <c r="AO14" s="46">
        <v>0</v>
      </c>
      <c r="AP14" s="46" t="s">
        <v>53</v>
      </c>
      <c r="AQ14" s="46" t="s">
        <v>53</v>
      </c>
      <c r="AR14" s="46" t="s">
        <v>53</v>
      </c>
      <c r="AS14" s="46" t="s">
        <v>54</v>
      </c>
      <c r="AT14" s="33" t="s">
        <v>70</v>
      </c>
      <c r="AU14" s="15"/>
      <c r="AV14" s="15"/>
      <c r="AW14" s="15"/>
      <c r="AX14" s="15"/>
      <c r="AY14" s="15"/>
      <c r="AZ14" s="15"/>
      <c r="BA14" s="15"/>
      <c r="BB14" s="108"/>
      <c r="BC14" s="15"/>
      <c r="BD14" s="15"/>
      <c r="BE14" s="15"/>
      <c r="BF14" s="15"/>
      <c r="BG14" s="102">
        <f t="shared" si="24"/>
        <v>0</v>
      </c>
      <c r="BH14" s="15"/>
      <c r="BI14" s="15"/>
      <c r="BJ14" s="15"/>
      <c r="BK14" s="15"/>
      <c r="BL14" s="15"/>
      <c r="BM14" s="15"/>
      <c r="BN14" s="15"/>
      <c r="BO14" s="15"/>
      <c r="BP14" s="15"/>
      <c r="BQ14" s="15">
        <f>38260.89</f>
        <v>38260.89</v>
      </c>
      <c r="BR14" s="15"/>
      <c r="BS14" s="15"/>
      <c r="BT14" s="102">
        <f t="shared" si="25"/>
        <v>38260.89</v>
      </c>
      <c r="BU14" s="15"/>
      <c r="BV14" s="15"/>
      <c r="BW14" s="15"/>
      <c r="BX14" s="15"/>
      <c r="BY14" s="15"/>
      <c r="BZ14" s="15"/>
      <c r="CA14" s="15"/>
      <c r="CB14" s="15"/>
      <c r="CC14" s="15"/>
      <c r="CD14" s="15"/>
      <c r="CE14" s="15"/>
      <c r="CF14" s="15"/>
      <c r="CG14" s="494">
        <f t="shared" si="8"/>
        <v>0</v>
      </c>
      <c r="CH14" s="241">
        <v>0</v>
      </c>
      <c r="CI14" s="42"/>
      <c r="CJ14" s="42"/>
      <c r="CK14" s="42"/>
      <c r="CL14" s="42"/>
      <c r="CM14" s="42"/>
      <c r="CN14" s="42"/>
      <c r="CO14" s="42"/>
      <c r="CP14" s="42"/>
      <c r="CQ14" s="42"/>
      <c r="CR14" s="42"/>
      <c r="CS14" s="42"/>
      <c r="CT14" s="365">
        <f t="shared" si="10"/>
        <v>0</v>
      </c>
      <c r="CU14" s="1"/>
      <c r="CV14" s="1"/>
      <c r="CW14" s="1"/>
      <c r="CX14" s="1"/>
      <c r="CY14" s="1"/>
      <c r="CZ14" s="1"/>
      <c r="DA14" s="1"/>
      <c r="DB14" s="1"/>
      <c r="DC14" s="1"/>
      <c r="DD14" s="1"/>
      <c r="DE14" s="1"/>
      <c r="DF14" s="1"/>
      <c r="DG14" s="1">
        <f t="shared" si="0"/>
        <v>0</v>
      </c>
      <c r="DH14" s="1"/>
      <c r="DI14" s="1"/>
      <c r="DJ14" s="1"/>
      <c r="DK14" s="1"/>
      <c r="DL14" s="1"/>
      <c r="DM14" s="1"/>
      <c r="DN14" s="1"/>
      <c r="DO14" s="1"/>
      <c r="DP14" s="1"/>
      <c r="DQ14" s="1"/>
      <c r="DR14" s="1"/>
      <c r="DS14" s="1"/>
      <c r="DT14" s="96">
        <f t="shared" si="6"/>
        <v>0</v>
      </c>
    </row>
    <row r="15" spans="1:125" ht="48.75" hidden="1" thickBot="1" x14ac:dyDescent="0.25">
      <c r="A15" s="4" t="s">
        <v>439</v>
      </c>
      <c r="B15" s="33" t="s">
        <v>107</v>
      </c>
      <c r="C15" s="1" t="s">
        <v>440</v>
      </c>
      <c r="D15" s="1" t="s">
        <v>450</v>
      </c>
      <c r="E15" s="1"/>
      <c r="F15" s="1" t="s">
        <v>314</v>
      </c>
      <c r="G15" s="1" t="s">
        <v>49</v>
      </c>
      <c r="H15" s="33" t="s">
        <v>328</v>
      </c>
      <c r="I15" s="33" t="s">
        <v>443</v>
      </c>
      <c r="J15" s="58">
        <v>44285</v>
      </c>
      <c r="K15" s="58">
        <v>45381</v>
      </c>
      <c r="L15" s="195">
        <v>26494919.5</v>
      </c>
      <c r="M15" s="135"/>
      <c r="N15" s="136">
        <f t="shared" si="11"/>
        <v>0</v>
      </c>
      <c r="O15" s="136">
        <f t="shared" si="12"/>
        <v>0</v>
      </c>
      <c r="P15" s="137">
        <f t="shared" si="13"/>
        <v>26494919.5</v>
      </c>
      <c r="Q15" s="135">
        <f t="shared" si="14"/>
        <v>0</v>
      </c>
      <c r="R15" s="136">
        <f t="shared" si="15"/>
        <v>0</v>
      </c>
      <c r="S15" s="136">
        <f t="shared" si="16"/>
        <v>0</v>
      </c>
      <c r="T15" s="137">
        <f t="shared" si="17"/>
        <v>26494919.5</v>
      </c>
      <c r="U15" s="135">
        <f t="shared" si="18"/>
        <v>0</v>
      </c>
      <c r="V15" s="136">
        <f t="shared" si="19"/>
        <v>0</v>
      </c>
      <c r="W15" s="136">
        <f t="shared" si="20"/>
        <v>0</v>
      </c>
      <c r="X15" s="207">
        <f t="shared" si="21"/>
        <v>26494919.5</v>
      </c>
      <c r="Y15" s="135">
        <f t="shared" si="1"/>
        <v>0</v>
      </c>
      <c r="Z15" s="136">
        <f t="shared" si="22"/>
        <v>0</v>
      </c>
      <c r="AA15" s="136">
        <f t="shared" si="7"/>
        <v>0</v>
      </c>
      <c r="AB15" s="137">
        <f t="shared" si="23"/>
        <v>26494919.5</v>
      </c>
      <c r="AC15" s="362">
        <f t="shared" si="2"/>
        <v>0</v>
      </c>
      <c r="AD15" s="362">
        <f t="shared" si="3"/>
        <v>0</v>
      </c>
      <c r="AE15" s="362">
        <f t="shared" si="4"/>
        <v>0</v>
      </c>
      <c r="AF15" s="362">
        <f t="shared" si="5"/>
        <v>26494919.5</v>
      </c>
      <c r="AG15" s="362"/>
      <c r="AH15" s="362"/>
      <c r="AI15" s="362"/>
      <c r="AJ15" s="362"/>
      <c r="AK15" s="171">
        <v>0</v>
      </c>
      <c r="AL15" s="46">
        <v>36</v>
      </c>
      <c r="AM15" s="46" t="s">
        <v>1304</v>
      </c>
      <c r="AN15" s="46">
        <v>0</v>
      </c>
      <c r="AO15" s="46">
        <v>0</v>
      </c>
      <c r="AP15" s="46" t="s">
        <v>53</v>
      </c>
      <c r="AQ15" s="46" t="s">
        <v>53</v>
      </c>
      <c r="AR15" s="46" t="s">
        <v>53</v>
      </c>
      <c r="AS15" s="46" t="s">
        <v>54</v>
      </c>
      <c r="AT15" s="33" t="s">
        <v>70</v>
      </c>
      <c r="AU15" s="15"/>
      <c r="AV15" s="15"/>
      <c r="AW15" s="15"/>
      <c r="AX15" s="15"/>
      <c r="AY15" s="15"/>
      <c r="AZ15" s="15"/>
      <c r="BA15" s="15"/>
      <c r="BB15" s="108"/>
      <c r="BC15" s="15"/>
      <c r="BD15" s="15"/>
      <c r="BE15" s="15"/>
      <c r="BF15" s="15"/>
      <c r="BG15" s="102">
        <f t="shared" si="24"/>
        <v>0</v>
      </c>
      <c r="BH15" s="15"/>
      <c r="BI15" s="15"/>
      <c r="BJ15" s="15"/>
      <c r="BK15" s="15"/>
      <c r="BL15" s="15"/>
      <c r="BM15" s="15"/>
      <c r="BN15" s="15"/>
      <c r="BO15" s="15"/>
      <c r="BP15" s="15"/>
      <c r="BQ15" s="15"/>
      <c r="BR15" s="15"/>
      <c r="BS15" s="15"/>
      <c r="BT15" s="102">
        <f t="shared" si="25"/>
        <v>0</v>
      </c>
      <c r="BU15" s="15"/>
      <c r="BV15" s="15"/>
      <c r="BW15" s="15"/>
      <c r="BX15" s="15"/>
      <c r="BY15" s="15"/>
      <c r="BZ15" s="15"/>
      <c r="CA15" s="15"/>
      <c r="CB15" s="15"/>
      <c r="CC15" s="15"/>
      <c r="CD15" s="15"/>
      <c r="CE15" s="15"/>
      <c r="CF15" s="15"/>
      <c r="CG15" s="494">
        <f t="shared" si="8"/>
        <v>0</v>
      </c>
      <c r="CH15" s="241">
        <v>0</v>
      </c>
      <c r="CI15" s="42"/>
      <c r="CJ15" s="42"/>
      <c r="CK15" s="42"/>
      <c r="CL15" s="42"/>
      <c r="CM15" s="42"/>
      <c r="CN15" s="42"/>
      <c r="CO15" s="42"/>
      <c r="CP15" s="42"/>
      <c r="CQ15" s="42"/>
      <c r="CR15" s="42"/>
      <c r="CS15" s="42"/>
      <c r="CT15" s="365">
        <f t="shared" si="10"/>
        <v>0</v>
      </c>
      <c r="CU15" s="1"/>
      <c r="CV15" s="1"/>
      <c r="CW15" s="1"/>
      <c r="CX15" s="1"/>
      <c r="CY15" s="1"/>
      <c r="CZ15" s="1"/>
      <c r="DA15" s="1"/>
      <c r="DB15" s="1"/>
      <c r="DC15" s="1"/>
      <c r="DD15" s="1"/>
      <c r="DE15" s="1"/>
      <c r="DF15" s="1"/>
      <c r="DG15" s="1">
        <f t="shared" si="0"/>
        <v>0</v>
      </c>
      <c r="DH15" s="1"/>
      <c r="DI15" s="1"/>
      <c r="DJ15" s="1"/>
      <c r="DK15" s="1"/>
      <c r="DL15" s="1"/>
      <c r="DM15" s="1"/>
      <c r="DN15" s="1"/>
      <c r="DO15" s="1"/>
      <c r="DP15" s="1"/>
      <c r="DQ15" s="1"/>
      <c r="DR15" s="1"/>
      <c r="DS15" s="1"/>
      <c r="DT15" s="96">
        <f t="shared" si="6"/>
        <v>0</v>
      </c>
    </row>
    <row r="16" spans="1:125" ht="48.75" hidden="1" thickBot="1" x14ac:dyDescent="0.25">
      <c r="A16" s="4" t="s">
        <v>451</v>
      </c>
      <c r="B16" s="33" t="s">
        <v>107</v>
      </c>
      <c r="C16" s="1" t="s">
        <v>452</v>
      </c>
      <c r="D16" s="1" t="s">
        <v>453</v>
      </c>
      <c r="E16" s="1"/>
      <c r="F16" s="1" t="s">
        <v>454</v>
      </c>
      <c r="G16" s="1" t="s">
        <v>49</v>
      </c>
      <c r="H16" s="33" t="s">
        <v>328</v>
      </c>
      <c r="I16" s="33" t="s">
        <v>443</v>
      </c>
      <c r="J16" s="58">
        <v>44285</v>
      </c>
      <c r="K16" s="58">
        <v>45381</v>
      </c>
      <c r="L16" s="195" t="s">
        <v>493</v>
      </c>
      <c r="M16" s="135"/>
      <c r="N16" s="136">
        <f t="shared" si="11"/>
        <v>0</v>
      </c>
      <c r="O16" s="136">
        <f t="shared" si="12"/>
        <v>0</v>
      </c>
      <c r="P16" s="137" t="e">
        <f t="shared" si="13"/>
        <v>#VALUE!</v>
      </c>
      <c r="Q16" s="135">
        <f t="shared" si="14"/>
        <v>0</v>
      </c>
      <c r="R16" s="136">
        <f t="shared" si="15"/>
        <v>0</v>
      </c>
      <c r="S16" s="136">
        <f t="shared" si="16"/>
        <v>0</v>
      </c>
      <c r="T16" s="137" t="e">
        <f t="shared" si="17"/>
        <v>#VALUE!</v>
      </c>
      <c r="U16" s="135">
        <f t="shared" si="18"/>
        <v>0</v>
      </c>
      <c r="V16" s="136">
        <f t="shared" si="19"/>
        <v>0</v>
      </c>
      <c r="W16" s="136">
        <f t="shared" si="20"/>
        <v>0</v>
      </c>
      <c r="X16" s="207" t="e">
        <f t="shared" si="21"/>
        <v>#VALUE!</v>
      </c>
      <c r="Y16" s="135">
        <f t="shared" si="1"/>
        <v>0</v>
      </c>
      <c r="Z16" s="136">
        <f t="shared" si="22"/>
        <v>0</v>
      </c>
      <c r="AA16" s="136">
        <f t="shared" si="7"/>
        <v>0</v>
      </c>
      <c r="AB16" s="137"/>
      <c r="AC16" s="362">
        <f t="shared" si="2"/>
        <v>0</v>
      </c>
      <c r="AD16" s="362">
        <f t="shared" si="3"/>
        <v>0</v>
      </c>
      <c r="AE16" s="362">
        <f t="shared" si="4"/>
        <v>0</v>
      </c>
      <c r="AF16" s="362" t="e">
        <f t="shared" si="5"/>
        <v>#VALUE!</v>
      </c>
      <c r="AG16" s="362"/>
      <c r="AH16" s="362"/>
      <c r="AI16" s="362"/>
      <c r="AJ16" s="362"/>
      <c r="AK16" s="171">
        <v>0</v>
      </c>
      <c r="AL16" s="46">
        <v>36</v>
      </c>
      <c r="AM16" s="46" t="s">
        <v>1304</v>
      </c>
      <c r="AN16" s="46">
        <v>0</v>
      </c>
      <c r="AO16" s="46">
        <v>0</v>
      </c>
      <c r="AP16" s="46" t="s">
        <v>53</v>
      </c>
      <c r="AQ16" s="46" t="s">
        <v>53</v>
      </c>
      <c r="AR16" s="46" t="s">
        <v>53</v>
      </c>
      <c r="AS16" s="46" t="s">
        <v>54</v>
      </c>
      <c r="AT16" s="33" t="s">
        <v>70</v>
      </c>
      <c r="AU16" s="15"/>
      <c r="AV16" s="15"/>
      <c r="AW16" s="15"/>
      <c r="AX16" s="15"/>
      <c r="AY16" s="15"/>
      <c r="AZ16" s="15"/>
      <c r="BA16" s="15"/>
      <c r="BB16" s="108"/>
      <c r="BC16" s="15"/>
      <c r="BD16" s="15"/>
      <c r="BE16" s="15"/>
      <c r="BF16" s="15"/>
      <c r="BG16" s="102">
        <f t="shared" si="24"/>
        <v>0</v>
      </c>
      <c r="BH16" s="15"/>
      <c r="BI16" s="15"/>
      <c r="BJ16" s="15"/>
      <c r="BK16" s="15"/>
      <c r="BL16" s="15"/>
      <c r="BM16" s="15"/>
      <c r="BN16" s="15"/>
      <c r="BO16" s="15"/>
      <c r="BP16" s="15"/>
      <c r="BQ16" s="15"/>
      <c r="BR16" s="15"/>
      <c r="BS16" s="15"/>
      <c r="BT16" s="102">
        <f t="shared" si="25"/>
        <v>0</v>
      </c>
      <c r="BU16" s="15"/>
      <c r="BV16" s="15"/>
      <c r="BW16" s="15"/>
      <c r="BX16" s="15"/>
      <c r="BY16" s="15"/>
      <c r="BZ16" s="15"/>
      <c r="CA16" s="15"/>
      <c r="CB16" s="15"/>
      <c r="CC16" s="15"/>
      <c r="CD16" s="15"/>
      <c r="CE16" s="15"/>
      <c r="CF16" s="15"/>
      <c r="CG16" s="494">
        <f t="shared" si="8"/>
        <v>0</v>
      </c>
      <c r="CH16" s="241">
        <v>0</v>
      </c>
      <c r="CI16" s="42"/>
      <c r="CJ16" s="42"/>
      <c r="CK16" s="42"/>
      <c r="CL16" s="42"/>
      <c r="CM16" s="42"/>
      <c r="CN16" s="42"/>
      <c r="CO16" s="42"/>
      <c r="CP16" s="42"/>
      <c r="CQ16" s="42"/>
      <c r="CR16" s="42"/>
      <c r="CS16" s="42"/>
      <c r="CT16" s="365">
        <f t="shared" si="10"/>
        <v>0</v>
      </c>
      <c r="CU16" s="1"/>
      <c r="CV16" s="1"/>
      <c r="CW16" s="1"/>
      <c r="CX16" s="1"/>
      <c r="CY16" s="1"/>
      <c r="CZ16" s="1"/>
      <c r="DA16" s="1"/>
      <c r="DB16" s="1"/>
      <c r="DC16" s="1"/>
      <c r="DD16" s="1"/>
      <c r="DE16" s="1"/>
      <c r="DF16" s="1"/>
      <c r="DG16" s="1">
        <f t="shared" si="0"/>
        <v>0</v>
      </c>
      <c r="DH16" s="1"/>
      <c r="DI16" s="1"/>
      <c r="DJ16" s="1"/>
      <c r="DK16" s="1"/>
      <c r="DL16" s="1"/>
      <c r="DM16" s="1"/>
      <c r="DN16" s="1"/>
      <c r="DO16" s="1"/>
      <c r="DP16" s="1"/>
      <c r="DQ16" s="1"/>
      <c r="DR16" s="1"/>
      <c r="DS16" s="1"/>
      <c r="DT16" s="96">
        <f t="shared" si="6"/>
        <v>0</v>
      </c>
    </row>
    <row r="17" spans="1:124" s="10" customFormat="1" ht="48.75" hidden="1" thickBot="1" x14ac:dyDescent="0.25">
      <c r="A17" s="360" t="s">
        <v>451</v>
      </c>
      <c r="B17" s="382" t="s">
        <v>107</v>
      </c>
      <c r="C17" s="360" t="s">
        <v>452</v>
      </c>
      <c r="D17" s="360" t="s">
        <v>441</v>
      </c>
      <c r="E17" s="360"/>
      <c r="F17" s="360" t="s">
        <v>442</v>
      </c>
      <c r="G17" s="360" t="s">
        <v>49</v>
      </c>
      <c r="H17" s="382" t="s">
        <v>328</v>
      </c>
      <c r="I17" s="382" t="s">
        <v>443</v>
      </c>
      <c r="J17" s="387">
        <v>44285</v>
      </c>
      <c r="K17" s="387">
        <v>45381</v>
      </c>
      <c r="L17" s="549" t="s">
        <v>493</v>
      </c>
      <c r="M17" s="550"/>
      <c r="N17" s="551">
        <f t="shared" si="11"/>
        <v>0</v>
      </c>
      <c r="O17" s="551">
        <f t="shared" si="12"/>
        <v>0</v>
      </c>
      <c r="P17" s="552" t="e">
        <f t="shared" si="13"/>
        <v>#VALUE!</v>
      </c>
      <c r="Q17" s="550">
        <f t="shared" si="14"/>
        <v>0</v>
      </c>
      <c r="R17" s="551">
        <f t="shared" si="15"/>
        <v>0</v>
      </c>
      <c r="S17" s="551">
        <f t="shared" si="16"/>
        <v>0</v>
      </c>
      <c r="T17" s="552" t="e">
        <f t="shared" si="17"/>
        <v>#VALUE!</v>
      </c>
      <c r="U17" s="550">
        <f t="shared" si="18"/>
        <v>0</v>
      </c>
      <c r="V17" s="551">
        <f t="shared" si="19"/>
        <v>0</v>
      </c>
      <c r="W17" s="551">
        <f t="shared" si="20"/>
        <v>0</v>
      </c>
      <c r="X17" s="553" t="e">
        <f t="shared" si="21"/>
        <v>#VALUE!</v>
      </c>
      <c r="Y17" s="550">
        <f t="shared" si="1"/>
        <v>0</v>
      </c>
      <c r="Z17" s="551">
        <f t="shared" si="22"/>
        <v>1010499.86</v>
      </c>
      <c r="AA17" s="551">
        <f t="shared" si="7"/>
        <v>1010499.86</v>
      </c>
      <c r="AB17" s="552"/>
      <c r="AC17" s="554">
        <f t="shared" si="2"/>
        <v>1010499.86</v>
      </c>
      <c r="AD17" s="554">
        <f t="shared" si="3"/>
        <v>70499.990000000005</v>
      </c>
      <c r="AE17" s="554">
        <f t="shared" si="4"/>
        <v>1080999.8500000001</v>
      </c>
      <c r="AF17" s="554" t="e">
        <f t="shared" si="5"/>
        <v>#VALUE!</v>
      </c>
      <c r="AG17" s="554"/>
      <c r="AH17" s="554"/>
      <c r="AI17" s="554"/>
      <c r="AJ17" s="554"/>
      <c r="AK17" s="356">
        <v>0</v>
      </c>
      <c r="AL17" s="334">
        <v>36</v>
      </c>
      <c r="AM17" s="334" t="s">
        <v>1304</v>
      </c>
      <c r="AN17" s="334">
        <v>0</v>
      </c>
      <c r="AO17" s="334">
        <v>0</v>
      </c>
      <c r="AP17" s="334" t="s">
        <v>53</v>
      </c>
      <c r="AQ17" s="334" t="s">
        <v>53</v>
      </c>
      <c r="AR17" s="334" t="s">
        <v>53</v>
      </c>
      <c r="AS17" s="334" t="s">
        <v>54</v>
      </c>
      <c r="AT17" s="382" t="s">
        <v>70</v>
      </c>
      <c r="AU17" s="391"/>
      <c r="AV17" s="391"/>
      <c r="AW17" s="391"/>
      <c r="AX17" s="391"/>
      <c r="AY17" s="391"/>
      <c r="AZ17" s="391"/>
      <c r="BA17" s="391"/>
      <c r="BB17" s="555"/>
      <c r="BC17" s="391"/>
      <c r="BD17" s="391"/>
      <c r="BE17" s="391"/>
      <c r="BF17" s="391"/>
      <c r="BG17" s="386">
        <f t="shared" si="24"/>
        <v>0</v>
      </c>
      <c r="BH17" s="391"/>
      <c r="BI17" s="391"/>
      <c r="BJ17" s="391"/>
      <c r="BK17" s="391"/>
      <c r="BL17" s="391"/>
      <c r="BM17" s="391"/>
      <c r="BN17" s="391"/>
      <c r="BO17" s="391"/>
      <c r="BP17" s="391"/>
      <c r="BQ17" s="391"/>
      <c r="BR17" s="391"/>
      <c r="BS17" s="391"/>
      <c r="BT17" s="386">
        <f t="shared" si="25"/>
        <v>0</v>
      </c>
      <c r="BU17" s="391"/>
      <c r="BV17" s="391"/>
      <c r="BW17" s="391"/>
      <c r="BX17" s="391"/>
      <c r="BY17" s="391"/>
      <c r="BZ17" s="391"/>
      <c r="CA17" s="391"/>
      <c r="CB17" s="391"/>
      <c r="CC17" s="391"/>
      <c r="CD17" s="391"/>
      <c r="CE17" s="391"/>
      <c r="CF17" s="391"/>
      <c r="CG17" s="556">
        <f t="shared" si="8"/>
        <v>0</v>
      </c>
      <c r="CH17" s="557">
        <v>140999.98000000001</v>
      </c>
      <c r="CI17" s="329">
        <v>140999.98000000001</v>
      </c>
      <c r="CJ17" s="329">
        <v>93999.99</v>
      </c>
      <c r="CK17" s="329">
        <v>70499.990000000005</v>
      </c>
      <c r="CL17" s="329">
        <v>70499.990000000005</v>
      </c>
      <c r="CM17" s="393">
        <v>70499.990000000005</v>
      </c>
      <c r="CN17" s="329">
        <v>70499.990000000005</v>
      </c>
      <c r="CO17" s="329">
        <v>70499.990000000005</v>
      </c>
      <c r="CP17" s="329">
        <v>70499.990000000005</v>
      </c>
      <c r="CQ17" s="329">
        <v>70499.990000000005</v>
      </c>
      <c r="CR17" s="329">
        <v>70499.990000000005</v>
      </c>
      <c r="CS17" s="329">
        <v>70499.990000000005</v>
      </c>
      <c r="CT17" s="558">
        <f t="shared" si="10"/>
        <v>1010499.86</v>
      </c>
      <c r="CU17" s="360">
        <v>70499.990000000005</v>
      </c>
      <c r="CV17" s="360">
        <v>0</v>
      </c>
      <c r="CW17" s="360"/>
      <c r="CX17" s="360"/>
      <c r="CY17" s="360"/>
      <c r="CZ17" s="360"/>
      <c r="DA17" s="360"/>
      <c r="DB17" s="360"/>
      <c r="DC17" s="360"/>
      <c r="DD17" s="360"/>
      <c r="DE17" s="360"/>
      <c r="DF17" s="360"/>
      <c r="DG17" s="360">
        <f t="shared" si="0"/>
        <v>70499.990000000005</v>
      </c>
      <c r="DH17" s="4"/>
      <c r="DI17" s="4"/>
      <c r="DJ17" s="4"/>
      <c r="DK17" s="4"/>
      <c r="DL17" s="4"/>
      <c r="DM17" s="4"/>
      <c r="DN17" s="4"/>
      <c r="DO17" s="4"/>
      <c r="DP17" s="4"/>
      <c r="DQ17" s="4"/>
      <c r="DR17" s="4"/>
      <c r="DS17" s="4"/>
      <c r="DT17" s="96">
        <f t="shared" si="6"/>
        <v>0</v>
      </c>
    </row>
    <row r="18" spans="1:124" ht="48.75" hidden="1" thickBot="1" x14ac:dyDescent="0.25">
      <c r="A18" s="4" t="s">
        <v>451</v>
      </c>
      <c r="B18" s="33" t="s">
        <v>107</v>
      </c>
      <c r="C18" s="1" t="s">
        <v>452</v>
      </c>
      <c r="D18" s="1" t="s">
        <v>446</v>
      </c>
      <c r="E18" s="1"/>
      <c r="F18" s="1" t="s">
        <v>447</v>
      </c>
      <c r="G18" s="1" t="s">
        <v>49</v>
      </c>
      <c r="H18" s="33" t="s">
        <v>328</v>
      </c>
      <c r="I18" s="33" t="s">
        <v>443</v>
      </c>
      <c r="J18" s="58">
        <v>44285</v>
      </c>
      <c r="K18" s="58">
        <v>45381</v>
      </c>
      <c r="L18" s="195" t="s">
        <v>493</v>
      </c>
      <c r="M18" s="135"/>
      <c r="N18" s="136">
        <f t="shared" si="11"/>
        <v>0</v>
      </c>
      <c r="O18" s="136">
        <f t="shared" si="12"/>
        <v>0</v>
      </c>
      <c r="P18" s="137" t="e">
        <f t="shared" si="13"/>
        <v>#VALUE!</v>
      </c>
      <c r="Q18" s="135">
        <f t="shared" si="14"/>
        <v>0</v>
      </c>
      <c r="R18" s="136">
        <f t="shared" si="15"/>
        <v>0</v>
      </c>
      <c r="S18" s="136">
        <f t="shared" si="16"/>
        <v>0</v>
      </c>
      <c r="T18" s="137" t="e">
        <f t="shared" si="17"/>
        <v>#VALUE!</v>
      </c>
      <c r="U18" s="135">
        <f t="shared" si="18"/>
        <v>0</v>
      </c>
      <c r="V18" s="136">
        <f t="shared" si="19"/>
        <v>368000</v>
      </c>
      <c r="W18" s="136">
        <f t="shared" si="20"/>
        <v>368000</v>
      </c>
      <c r="X18" s="207" t="e">
        <f t="shared" si="21"/>
        <v>#VALUE!</v>
      </c>
      <c r="Y18" s="135">
        <f t="shared" si="1"/>
        <v>368000</v>
      </c>
      <c r="Z18" s="136">
        <f t="shared" si="22"/>
        <v>2415000</v>
      </c>
      <c r="AA18" s="136">
        <f t="shared" si="7"/>
        <v>2783000</v>
      </c>
      <c r="AB18" s="137"/>
      <c r="AC18" s="362">
        <f t="shared" si="2"/>
        <v>2783000</v>
      </c>
      <c r="AD18" s="362">
        <f t="shared" si="3"/>
        <v>0</v>
      </c>
      <c r="AE18" s="362">
        <f t="shared" si="4"/>
        <v>2783000</v>
      </c>
      <c r="AF18" s="362" t="e">
        <f t="shared" si="5"/>
        <v>#VALUE!</v>
      </c>
      <c r="AG18" s="362"/>
      <c r="AH18" s="362"/>
      <c r="AI18" s="362"/>
      <c r="AJ18" s="362"/>
      <c r="AK18" s="171">
        <v>0</v>
      </c>
      <c r="AL18" s="46">
        <v>36</v>
      </c>
      <c r="AM18" s="46" t="s">
        <v>1304</v>
      </c>
      <c r="AN18" s="46">
        <v>0</v>
      </c>
      <c r="AO18" s="46">
        <v>0</v>
      </c>
      <c r="AP18" s="46" t="s">
        <v>53</v>
      </c>
      <c r="AQ18" s="46" t="s">
        <v>53</v>
      </c>
      <c r="AR18" s="46" t="s">
        <v>53</v>
      </c>
      <c r="AS18" s="46" t="s">
        <v>54</v>
      </c>
      <c r="AT18" s="33" t="s">
        <v>70</v>
      </c>
      <c r="AU18" s="15"/>
      <c r="AV18" s="15"/>
      <c r="AW18" s="15"/>
      <c r="AX18" s="15"/>
      <c r="AY18" s="15"/>
      <c r="AZ18" s="15"/>
      <c r="BA18" s="15"/>
      <c r="BB18" s="108"/>
      <c r="BC18" s="15"/>
      <c r="BD18" s="15"/>
      <c r="BE18" s="15"/>
      <c r="BF18" s="15"/>
      <c r="BG18" s="102">
        <f t="shared" si="24"/>
        <v>0</v>
      </c>
      <c r="BH18" s="15"/>
      <c r="BI18" s="15"/>
      <c r="BJ18" s="15"/>
      <c r="BK18" s="15"/>
      <c r="BL18" s="15"/>
      <c r="BM18" s="15"/>
      <c r="BN18" s="15"/>
      <c r="BO18" s="15"/>
      <c r="BP18" s="15"/>
      <c r="BQ18" s="15"/>
      <c r="BR18" s="15"/>
      <c r="BS18" s="15"/>
      <c r="BT18" s="102">
        <f t="shared" si="25"/>
        <v>0</v>
      </c>
      <c r="BU18" s="15"/>
      <c r="BV18" s="15"/>
      <c r="BW18" s="15"/>
      <c r="BX18" s="15"/>
      <c r="BY18" s="15"/>
      <c r="BZ18" s="15"/>
      <c r="CA18" s="15"/>
      <c r="CB18" s="15"/>
      <c r="CC18" s="15"/>
      <c r="CD18" s="15"/>
      <c r="CE18" s="15">
        <v>184000</v>
      </c>
      <c r="CF18" s="15">
        <v>184000</v>
      </c>
      <c r="CG18" s="494">
        <f t="shared" si="8"/>
        <v>368000</v>
      </c>
      <c r="CH18" s="241">
        <v>184000</v>
      </c>
      <c r="CI18" s="42">
        <v>184000</v>
      </c>
      <c r="CJ18" s="42">
        <v>184000</v>
      </c>
      <c r="CK18" s="42">
        <v>207000</v>
      </c>
      <c r="CL18" s="42">
        <v>207000</v>
      </c>
      <c r="CM18" s="42">
        <v>207000</v>
      </c>
      <c r="CN18" s="42">
        <v>207000</v>
      </c>
      <c r="CO18" s="42">
        <v>207000</v>
      </c>
      <c r="CP18" s="42">
        <v>207000</v>
      </c>
      <c r="CQ18" s="42">
        <v>207000</v>
      </c>
      <c r="CR18" s="42">
        <v>207000</v>
      </c>
      <c r="CS18" s="42">
        <v>207000</v>
      </c>
      <c r="CT18" s="365">
        <f t="shared" si="10"/>
        <v>2415000</v>
      </c>
      <c r="CU18" s="1"/>
      <c r="CV18" s="1"/>
      <c r="CW18" s="1"/>
      <c r="CX18" s="1"/>
      <c r="CY18" s="1"/>
      <c r="CZ18" s="1"/>
      <c r="DA18" s="1"/>
      <c r="DB18" s="1"/>
      <c r="DC18" s="1"/>
      <c r="DD18" s="1"/>
      <c r="DE18" s="1"/>
      <c r="DF18" s="1"/>
      <c r="DG18" s="1">
        <f t="shared" si="0"/>
        <v>0</v>
      </c>
      <c r="DH18" s="1"/>
      <c r="DI18" s="1"/>
      <c r="DJ18" s="1"/>
      <c r="DK18" s="1"/>
      <c r="DL18" s="1"/>
      <c r="DM18" s="1"/>
      <c r="DN18" s="1"/>
      <c r="DO18" s="1"/>
      <c r="DP18" s="1"/>
      <c r="DQ18" s="1"/>
      <c r="DR18" s="1"/>
      <c r="DS18" s="1"/>
      <c r="DT18" s="96">
        <f t="shared" si="6"/>
        <v>0</v>
      </c>
    </row>
    <row r="19" spans="1:124" ht="48.75" hidden="1" thickBot="1" x14ac:dyDescent="0.25">
      <c r="A19" s="4" t="s">
        <v>451</v>
      </c>
      <c r="B19" s="33" t="s">
        <v>107</v>
      </c>
      <c r="C19" s="1" t="s">
        <v>452</v>
      </c>
      <c r="D19" s="1" t="s">
        <v>448</v>
      </c>
      <c r="E19" s="1"/>
      <c r="F19" s="1" t="s">
        <v>449</v>
      </c>
      <c r="G19" s="1" t="s">
        <v>49</v>
      </c>
      <c r="H19" s="33" t="s">
        <v>328</v>
      </c>
      <c r="I19" s="33" t="s">
        <v>443</v>
      </c>
      <c r="J19" s="58">
        <v>44285</v>
      </c>
      <c r="K19" s="58">
        <v>45381</v>
      </c>
      <c r="L19" s="195" t="s">
        <v>493</v>
      </c>
      <c r="M19" s="135"/>
      <c r="N19" s="136">
        <f t="shared" si="11"/>
        <v>0</v>
      </c>
      <c r="O19" s="136">
        <f t="shared" si="12"/>
        <v>0</v>
      </c>
      <c r="P19" s="137" t="e">
        <f t="shared" si="13"/>
        <v>#VALUE!</v>
      </c>
      <c r="Q19" s="135">
        <f t="shared" si="14"/>
        <v>0</v>
      </c>
      <c r="R19" s="136">
        <f t="shared" si="15"/>
        <v>0</v>
      </c>
      <c r="S19" s="136">
        <f t="shared" si="16"/>
        <v>0</v>
      </c>
      <c r="T19" s="137" t="e">
        <f t="shared" si="17"/>
        <v>#VALUE!</v>
      </c>
      <c r="U19" s="135">
        <f t="shared" si="18"/>
        <v>0</v>
      </c>
      <c r="V19" s="136">
        <f t="shared" si="19"/>
        <v>0</v>
      </c>
      <c r="W19" s="136">
        <f t="shared" si="20"/>
        <v>0</v>
      </c>
      <c r="X19" s="207" t="e">
        <f t="shared" si="21"/>
        <v>#VALUE!</v>
      </c>
      <c r="Y19" s="135">
        <f t="shared" si="1"/>
        <v>0</v>
      </c>
      <c r="Z19" s="136">
        <f t="shared" si="22"/>
        <v>564000.21000000008</v>
      </c>
      <c r="AA19" s="136">
        <f t="shared" si="7"/>
        <v>564000.21000000008</v>
      </c>
      <c r="AB19" s="137"/>
      <c r="AC19" s="362">
        <f t="shared" si="2"/>
        <v>564000.21000000008</v>
      </c>
      <c r="AD19" s="362">
        <f t="shared" si="3"/>
        <v>47000.02</v>
      </c>
      <c r="AE19" s="362">
        <f t="shared" si="4"/>
        <v>611000.2300000001</v>
      </c>
      <c r="AF19" s="362" t="e">
        <f t="shared" si="5"/>
        <v>#VALUE!</v>
      </c>
      <c r="AG19" s="362"/>
      <c r="AH19" s="362"/>
      <c r="AI19" s="362"/>
      <c r="AJ19" s="362"/>
      <c r="AK19" s="171">
        <v>0</v>
      </c>
      <c r="AL19" s="46">
        <v>36</v>
      </c>
      <c r="AM19" s="46" t="s">
        <v>1304</v>
      </c>
      <c r="AN19" s="46">
        <v>0</v>
      </c>
      <c r="AO19" s="46">
        <v>0</v>
      </c>
      <c r="AP19" s="46" t="s">
        <v>53</v>
      </c>
      <c r="AQ19" s="46" t="s">
        <v>53</v>
      </c>
      <c r="AR19" s="46" t="s">
        <v>53</v>
      </c>
      <c r="AS19" s="46" t="s">
        <v>54</v>
      </c>
      <c r="AT19" s="33" t="s">
        <v>70</v>
      </c>
      <c r="AU19" s="15"/>
      <c r="AV19" s="15"/>
      <c r="AW19" s="15"/>
      <c r="AX19" s="15"/>
      <c r="AY19" s="15"/>
      <c r="AZ19" s="15"/>
      <c r="BA19" s="15"/>
      <c r="BB19" s="108"/>
      <c r="BC19" s="15"/>
      <c r="BD19" s="15"/>
      <c r="BE19" s="15"/>
      <c r="BF19" s="15"/>
      <c r="BG19" s="102">
        <f t="shared" si="24"/>
        <v>0</v>
      </c>
      <c r="BH19" s="15"/>
      <c r="BI19" s="15"/>
      <c r="BJ19" s="15"/>
      <c r="BK19" s="15"/>
      <c r="BL19" s="15"/>
      <c r="BM19" s="15"/>
      <c r="BN19" s="15"/>
      <c r="BO19" s="15"/>
      <c r="BP19" s="15"/>
      <c r="BQ19" s="15"/>
      <c r="BR19" s="15"/>
      <c r="BS19" s="15"/>
      <c r="BT19" s="102">
        <f t="shared" si="25"/>
        <v>0</v>
      </c>
      <c r="BU19" s="15"/>
      <c r="BV19" s="15"/>
      <c r="BW19" s="15"/>
      <c r="BX19" s="15"/>
      <c r="BY19" s="15"/>
      <c r="BZ19" s="15"/>
      <c r="CA19" s="15"/>
      <c r="CB19" s="15"/>
      <c r="CC19" s="15"/>
      <c r="CD19" s="15"/>
      <c r="CE19" s="15"/>
      <c r="CF19" s="15"/>
      <c r="CG19" s="494">
        <f t="shared" si="8"/>
        <v>0</v>
      </c>
      <c r="CH19" s="241">
        <v>0</v>
      </c>
      <c r="CI19" s="42">
        <v>94000.03</v>
      </c>
      <c r="CJ19" s="42">
        <v>47000</v>
      </c>
      <c r="CK19" s="42">
        <v>47000.02</v>
      </c>
      <c r="CL19" s="42">
        <v>47000.02</v>
      </c>
      <c r="CM19" s="42">
        <v>47000.02</v>
      </c>
      <c r="CN19" s="42">
        <v>47000.02</v>
      </c>
      <c r="CO19" s="42">
        <v>47000.02</v>
      </c>
      <c r="CP19" s="42">
        <v>47000.02</v>
      </c>
      <c r="CQ19" s="42">
        <v>47000.02</v>
      </c>
      <c r="CR19" s="42">
        <v>47000.02</v>
      </c>
      <c r="CS19" s="42">
        <v>47000.02</v>
      </c>
      <c r="CT19" s="365">
        <f t="shared" si="10"/>
        <v>564000.21000000008</v>
      </c>
      <c r="CU19" s="1">
        <v>47000.02</v>
      </c>
      <c r="CV19" s="1"/>
      <c r="CW19" s="1"/>
      <c r="CX19" s="1"/>
      <c r="CY19" s="1"/>
      <c r="CZ19" s="1"/>
      <c r="DA19" s="1"/>
      <c r="DB19" s="1"/>
      <c r="DC19" s="1"/>
      <c r="DD19" s="1"/>
      <c r="DE19" s="1"/>
      <c r="DF19" s="1"/>
      <c r="DG19" s="1">
        <f t="shared" si="0"/>
        <v>47000.02</v>
      </c>
      <c r="DH19" s="1"/>
      <c r="DI19" s="1"/>
      <c r="DJ19" s="1"/>
      <c r="DK19" s="1"/>
      <c r="DL19" s="1"/>
      <c r="DM19" s="1"/>
      <c r="DN19" s="1"/>
      <c r="DO19" s="1"/>
      <c r="DP19" s="1"/>
      <c r="DQ19" s="1"/>
      <c r="DR19" s="1"/>
      <c r="DS19" s="1"/>
      <c r="DT19" s="96">
        <f t="shared" si="6"/>
        <v>0</v>
      </c>
    </row>
    <row r="20" spans="1:124" ht="48.75" hidden="1" thickBot="1" x14ac:dyDescent="0.25">
      <c r="A20" s="360" t="s">
        <v>451</v>
      </c>
      <c r="B20" s="383" t="s">
        <v>107</v>
      </c>
      <c r="C20" s="331" t="s">
        <v>452</v>
      </c>
      <c r="D20" s="331" t="s">
        <v>450</v>
      </c>
      <c r="E20" s="331"/>
      <c r="F20" s="331" t="s">
        <v>314</v>
      </c>
      <c r="G20" s="331" t="s">
        <v>49</v>
      </c>
      <c r="H20" s="383" t="s">
        <v>328</v>
      </c>
      <c r="I20" s="383" t="s">
        <v>443</v>
      </c>
      <c r="J20" s="70">
        <v>44285</v>
      </c>
      <c r="K20" s="70">
        <v>45381</v>
      </c>
      <c r="L20" s="394" t="s">
        <v>493</v>
      </c>
      <c r="M20" s="426"/>
      <c r="N20" s="427">
        <f t="shared" si="11"/>
        <v>0</v>
      </c>
      <c r="O20" s="427">
        <f t="shared" si="12"/>
        <v>0</v>
      </c>
      <c r="P20" s="428" t="e">
        <f t="shared" si="13"/>
        <v>#VALUE!</v>
      </c>
      <c r="Q20" s="426">
        <f t="shared" si="14"/>
        <v>0</v>
      </c>
      <c r="R20" s="427">
        <f t="shared" si="15"/>
        <v>0</v>
      </c>
      <c r="S20" s="427">
        <f t="shared" si="16"/>
        <v>0</v>
      </c>
      <c r="T20" s="428" t="e">
        <f t="shared" si="17"/>
        <v>#VALUE!</v>
      </c>
      <c r="U20" s="426">
        <f t="shared" si="18"/>
        <v>0</v>
      </c>
      <c r="V20" s="427">
        <f t="shared" si="19"/>
        <v>0</v>
      </c>
      <c r="W20" s="427">
        <f t="shared" si="20"/>
        <v>0</v>
      </c>
      <c r="X20" s="429" t="e">
        <f t="shared" si="21"/>
        <v>#VALUE!</v>
      </c>
      <c r="Y20" s="426">
        <f t="shared" si="1"/>
        <v>0</v>
      </c>
      <c r="Z20" s="427">
        <f t="shared" si="22"/>
        <v>0</v>
      </c>
      <c r="AA20" s="427">
        <f t="shared" si="7"/>
        <v>0</v>
      </c>
      <c r="AB20" s="428"/>
      <c r="AC20" s="430">
        <f t="shared" si="2"/>
        <v>0</v>
      </c>
      <c r="AD20" s="430">
        <f t="shared" si="3"/>
        <v>0</v>
      </c>
      <c r="AE20" s="430">
        <f t="shared" si="4"/>
        <v>0</v>
      </c>
      <c r="AF20" s="430" t="e">
        <f t="shared" si="5"/>
        <v>#VALUE!</v>
      </c>
      <c r="AG20" s="430"/>
      <c r="AH20" s="430"/>
      <c r="AI20" s="430"/>
      <c r="AJ20" s="430"/>
      <c r="AK20" s="431">
        <v>0</v>
      </c>
      <c r="AL20" s="335">
        <v>36</v>
      </c>
      <c r="AM20" s="335" t="s">
        <v>1304</v>
      </c>
      <c r="AN20" s="335">
        <v>0</v>
      </c>
      <c r="AO20" s="335">
        <v>0</v>
      </c>
      <c r="AP20" s="335" t="s">
        <v>53</v>
      </c>
      <c r="AQ20" s="335" t="s">
        <v>53</v>
      </c>
      <c r="AR20" s="335" t="s">
        <v>53</v>
      </c>
      <c r="AS20" s="335" t="s">
        <v>54</v>
      </c>
      <c r="AT20" s="383" t="s">
        <v>70</v>
      </c>
      <c r="AU20" s="357"/>
      <c r="AV20" s="357"/>
      <c r="AW20" s="357"/>
      <c r="AX20" s="357"/>
      <c r="AY20" s="357"/>
      <c r="AZ20" s="357"/>
      <c r="BA20" s="357"/>
      <c r="BB20" s="432"/>
      <c r="BC20" s="357"/>
      <c r="BD20" s="357"/>
      <c r="BE20" s="357"/>
      <c r="BF20" s="357"/>
      <c r="BG20" s="358">
        <f t="shared" si="24"/>
        <v>0</v>
      </c>
      <c r="BH20" s="357"/>
      <c r="BI20" s="357"/>
      <c r="BJ20" s="357"/>
      <c r="BK20" s="357"/>
      <c r="BL20" s="357"/>
      <c r="BM20" s="357"/>
      <c r="BN20" s="357"/>
      <c r="BO20" s="357"/>
      <c r="BP20" s="357"/>
      <c r="BQ20" s="357"/>
      <c r="BR20" s="357"/>
      <c r="BS20" s="357"/>
      <c r="BT20" s="358">
        <f t="shared" si="25"/>
        <v>0</v>
      </c>
      <c r="BU20" s="357"/>
      <c r="BV20" s="357"/>
      <c r="BW20" s="357"/>
      <c r="BX20" s="357"/>
      <c r="BY20" s="357"/>
      <c r="BZ20" s="357"/>
      <c r="CA20" s="357"/>
      <c r="CB20" s="357"/>
      <c r="CC20" s="357"/>
      <c r="CD20" s="357"/>
      <c r="CE20" s="357"/>
      <c r="CF20" s="357"/>
      <c r="CG20" s="433">
        <f t="shared" si="8"/>
        <v>0</v>
      </c>
      <c r="CH20" s="434">
        <v>0</v>
      </c>
      <c r="CI20" s="328"/>
      <c r="CJ20" s="328"/>
      <c r="CK20" s="328"/>
      <c r="CL20" s="328"/>
      <c r="CM20" s="328"/>
      <c r="CN20" s="328"/>
      <c r="CO20" s="328"/>
      <c r="CP20" s="328"/>
      <c r="CQ20" s="328"/>
      <c r="CR20" s="328"/>
      <c r="CS20" s="328"/>
      <c r="CT20" s="435">
        <f t="shared" si="10"/>
        <v>0</v>
      </c>
      <c r="CU20" s="331"/>
      <c r="CV20" s="331"/>
      <c r="CW20" s="331"/>
      <c r="CX20" s="331"/>
      <c r="CY20" s="331"/>
      <c r="CZ20" s="331"/>
      <c r="DA20" s="331"/>
      <c r="DB20" s="331"/>
      <c r="DC20" s="331"/>
      <c r="DD20" s="331"/>
      <c r="DE20" s="331"/>
      <c r="DF20" s="331"/>
      <c r="DG20" s="331">
        <f t="shared" si="0"/>
        <v>0</v>
      </c>
      <c r="DH20" s="1"/>
      <c r="DI20" s="1"/>
      <c r="DJ20" s="1"/>
      <c r="DK20" s="1"/>
      <c r="DL20" s="1"/>
      <c r="DM20" s="1"/>
      <c r="DN20" s="1"/>
      <c r="DO20" s="1"/>
      <c r="DP20" s="1"/>
      <c r="DQ20" s="1"/>
      <c r="DR20" s="1"/>
      <c r="DS20" s="1"/>
      <c r="DT20" s="96">
        <f t="shared" si="6"/>
        <v>0</v>
      </c>
    </row>
    <row r="21" spans="1:124" s="624" customFormat="1" ht="48.75" thickBot="1" x14ac:dyDescent="0.25">
      <c r="A21" s="469" t="s">
        <v>457</v>
      </c>
      <c r="B21" s="608" t="s">
        <v>107</v>
      </c>
      <c r="C21" s="469" t="s">
        <v>458</v>
      </c>
      <c r="D21" s="469" t="s">
        <v>459</v>
      </c>
      <c r="E21" s="469"/>
      <c r="F21" s="469" t="s">
        <v>460</v>
      </c>
      <c r="G21" s="469" t="s">
        <v>49</v>
      </c>
      <c r="H21" s="608" t="s">
        <v>354</v>
      </c>
      <c r="I21" s="608" t="s">
        <v>363</v>
      </c>
      <c r="J21" s="609">
        <v>44350</v>
      </c>
      <c r="K21" s="609">
        <v>45446</v>
      </c>
      <c r="L21" s="610">
        <v>2999416.12</v>
      </c>
      <c r="M21" s="611"/>
      <c r="N21" s="612">
        <f t="shared" si="11"/>
        <v>0</v>
      </c>
      <c r="O21" s="612">
        <f t="shared" si="12"/>
        <v>0</v>
      </c>
      <c r="P21" s="613">
        <f t="shared" si="13"/>
        <v>2999416.12</v>
      </c>
      <c r="Q21" s="611">
        <f t="shared" si="14"/>
        <v>0</v>
      </c>
      <c r="R21" s="612">
        <f t="shared" si="15"/>
        <v>0</v>
      </c>
      <c r="S21" s="612">
        <f t="shared" si="16"/>
        <v>0</v>
      </c>
      <c r="T21" s="613">
        <f t="shared" si="17"/>
        <v>2999416.12</v>
      </c>
      <c r="U21" s="611">
        <f t="shared" si="18"/>
        <v>0</v>
      </c>
      <c r="V21" s="612">
        <f t="shared" si="19"/>
        <v>380386.93</v>
      </c>
      <c r="W21" s="612">
        <f t="shared" si="20"/>
        <v>380386.93</v>
      </c>
      <c r="X21" s="614">
        <f t="shared" si="21"/>
        <v>2619029.19</v>
      </c>
      <c r="Y21" s="611">
        <f t="shared" si="1"/>
        <v>380386.93</v>
      </c>
      <c r="Z21" s="612">
        <f t="shared" si="22"/>
        <v>1357997.9900000002</v>
      </c>
      <c r="AA21" s="612">
        <f t="shared" si="7"/>
        <v>1738384.9200000002</v>
      </c>
      <c r="AB21" s="613">
        <f t="shared" ref="AB21:AB27" si="26">L21-AA21</f>
        <v>1261031.2</v>
      </c>
      <c r="AC21" s="615">
        <f t="shared" si="2"/>
        <v>1738384.9200000002</v>
      </c>
      <c r="AD21" s="615">
        <f t="shared" si="3"/>
        <v>631411.25749999995</v>
      </c>
      <c r="AE21" s="615">
        <f t="shared" si="4"/>
        <v>2369796.1775000002</v>
      </c>
      <c r="AF21" s="615">
        <f t="shared" si="5"/>
        <v>1261031.2</v>
      </c>
      <c r="AG21" s="615"/>
      <c r="AH21" s="615"/>
      <c r="AI21" s="615"/>
      <c r="AJ21" s="615"/>
      <c r="AK21" s="616">
        <v>0</v>
      </c>
      <c r="AL21" s="617">
        <v>36</v>
      </c>
      <c r="AM21" s="617" t="s">
        <v>1304</v>
      </c>
      <c r="AN21" s="617">
        <v>0</v>
      </c>
      <c r="AO21" s="617">
        <v>0</v>
      </c>
      <c r="AP21" s="617" t="s">
        <v>53</v>
      </c>
      <c r="AQ21" s="617" t="s">
        <v>53</v>
      </c>
      <c r="AR21" s="617" t="s">
        <v>53</v>
      </c>
      <c r="AS21" s="617" t="s">
        <v>54</v>
      </c>
      <c r="AT21" s="608" t="s">
        <v>70</v>
      </c>
      <c r="AU21" s="618"/>
      <c r="AV21" s="618"/>
      <c r="AW21" s="618"/>
      <c r="AX21" s="618"/>
      <c r="AY21" s="618"/>
      <c r="AZ21" s="618"/>
      <c r="BA21" s="618"/>
      <c r="BB21" s="619"/>
      <c r="BC21" s="618"/>
      <c r="BD21" s="618"/>
      <c r="BE21" s="618"/>
      <c r="BF21" s="618"/>
      <c r="BG21" s="620">
        <f t="shared" si="24"/>
        <v>0</v>
      </c>
      <c r="BH21" s="618"/>
      <c r="BI21" s="618"/>
      <c r="BJ21" s="618"/>
      <c r="BK21" s="618"/>
      <c r="BL21" s="618"/>
      <c r="BM21" s="618"/>
      <c r="BN21" s="618"/>
      <c r="BO21" s="618"/>
      <c r="BP21" s="618"/>
      <c r="BQ21" s="618"/>
      <c r="BR21" s="618"/>
      <c r="BS21" s="618"/>
      <c r="BT21" s="620">
        <f t="shared" si="25"/>
        <v>0</v>
      </c>
      <c r="BU21" s="618"/>
      <c r="BV21" s="618"/>
      <c r="BW21" s="618"/>
      <c r="BX21" s="618"/>
      <c r="BY21" s="618"/>
      <c r="BZ21" s="618"/>
      <c r="CA21" s="618"/>
      <c r="CB21" s="618"/>
      <c r="CC21" s="618"/>
      <c r="CD21" s="618"/>
      <c r="CE21" s="618"/>
      <c r="CF21" s="618">
        <v>380386.93</v>
      </c>
      <c r="CG21" s="621">
        <f t="shared" si="8"/>
        <v>380386.93</v>
      </c>
      <c r="CH21" s="622">
        <v>0</v>
      </c>
      <c r="CI21" s="547">
        <v>493093.38</v>
      </c>
      <c r="CJ21" s="547">
        <v>380386.93</v>
      </c>
      <c r="CK21" s="547">
        <v>180499.99</v>
      </c>
      <c r="CL21" s="547"/>
      <c r="CM21" s="547">
        <v>42024.81</v>
      </c>
      <c r="CN21" s="547"/>
      <c r="CO21" s="547">
        <v>126572.13</v>
      </c>
      <c r="CP21" s="547"/>
      <c r="CQ21" s="547"/>
      <c r="CR21" s="547">
        <f>101088.76+34331.99</f>
        <v>135420.75</v>
      </c>
      <c r="CS21" s="547"/>
      <c r="CT21" s="623">
        <f t="shared" si="10"/>
        <v>1357997.9900000002</v>
      </c>
      <c r="CU21" s="469">
        <v>0</v>
      </c>
      <c r="CV21" s="469"/>
      <c r="CW21" s="469"/>
      <c r="CX21" s="469"/>
      <c r="CY21" s="469">
        <v>0</v>
      </c>
      <c r="CZ21" s="469">
        <v>211266.03999999998</v>
      </c>
      <c r="DA21" s="469"/>
      <c r="DB21" s="469"/>
      <c r="DC21" s="469"/>
      <c r="DD21" s="469">
        <v>260231.94749999998</v>
      </c>
      <c r="DE21" s="469"/>
      <c r="DF21" s="469">
        <v>159913.26999999999</v>
      </c>
      <c r="DG21" s="469">
        <f t="shared" si="0"/>
        <v>631411.25749999995</v>
      </c>
      <c r="DH21" s="469"/>
      <c r="DI21" s="469"/>
      <c r="DJ21" s="469">
        <v>175052.97</v>
      </c>
      <c r="DK21" s="469"/>
      <c r="DL21" s="469">
        <v>270556.92</v>
      </c>
      <c r="DM21" s="469"/>
      <c r="DN21" s="469"/>
      <c r="DO21" s="469"/>
      <c r="DP21" s="469"/>
      <c r="DQ21" s="469"/>
      <c r="DR21" s="469"/>
      <c r="DS21" s="469">
        <v>81514.541500000007</v>
      </c>
      <c r="DT21" s="96">
        <f t="shared" si="6"/>
        <v>527124.43150000006</v>
      </c>
    </row>
    <row r="22" spans="1:124" s="624" customFormat="1" ht="48.75" thickBot="1" x14ac:dyDescent="0.25">
      <c r="A22" s="469" t="s">
        <v>464</v>
      </c>
      <c r="B22" s="608" t="s">
        <v>107</v>
      </c>
      <c r="C22" s="469" t="s">
        <v>465</v>
      </c>
      <c r="D22" s="469" t="s">
        <v>461</v>
      </c>
      <c r="E22" s="469"/>
      <c r="F22" s="469" t="s">
        <v>462</v>
      </c>
      <c r="G22" s="469" t="s">
        <v>49</v>
      </c>
      <c r="H22" s="608" t="s">
        <v>354</v>
      </c>
      <c r="I22" s="608" t="s">
        <v>363</v>
      </c>
      <c r="J22" s="609">
        <v>44376</v>
      </c>
      <c r="K22" s="609">
        <v>45472</v>
      </c>
      <c r="L22" s="610">
        <v>3639190.92</v>
      </c>
      <c r="M22" s="611"/>
      <c r="N22" s="612">
        <f t="shared" si="11"/>
        <v>0</v>
      </c>
      <c r="O22" s="612">
        <f t="shared" si="12"/>
        <v>0</v>
      </c>
      <c r="P22" s="613">
        <f t="shared" si="13"/>
        <v>3639190.92</v>
      </c>
      <c r="Q22" s="611">
        <f t="shared" si="14"/>
        <v>0</v>
      </c>
      <c r="R22" s="612">
        <f t="shared" si="15"/>
        <v>136980</v>
      </c>
      <c r="S22" s="612">
        <f t="shared" si="16"/>
        <v>136980</v>
      </c>
      <c r="T22" s="613">
        <f t="shared" si="17"/>
        <v>3502210.92</v>
      </c>
      <c r="U22" s="611">
        <f t="shared" si="18"/>
        <v>136980</v>
      </c>
      <c r="V22" s="612">
        <f t="shared" si="19"/>
        <v>0</v>
      </c>
      <c r="W22" s="612">
        <f t="shared" si="20"/>
        <v>136980</v>
      </c>
      <c r="X22" s="614">
        <f t="shared" si="21"/>
        <v>3502210.92</v>
      </c>
      <c r="Y22" s="611">
        <f t="shared" si="1"/>
        <v>136980</v>
      </c>
      <c r="Z22" s="612">
        <f t="shared" si="22"/>
        <v>1184717.8999999999</v>
      </c>
      <c r="AA22" s="612">
        <f t="shared" si="7"/>
        <v>1321697.8999999999</v>
      </c>
      <c r="AB22" s="613">
        <f t="shared" si="26"/>
        <v>2317493.02</v>
      </c>
      <c r="AC22" s="615">
        <f t="shared" si="2"/>
        <v>1321697.8999999999</v>
      </c>
      <c r="AD22" s="615">
        <f t="shared" si="3"/>
        <v>550551.20049999992</v>
      </c>
      <c r="AE22" s="615">
        <f t="shared" si="4"/>
        <v>1872249.1004999997</v>
      </c>
      <c r="AF22" s="615">
        <f t="shared" si="5"/>
        <v>2317493.02</v>
      </c>
      <c r="AG22" s="615"/>
      <c r="AH22" s="615"/>
      <c r="AI22" s="615"/>
      <c r="AJ22" s="615"/>
      <c r="AK22" s="616">
        <v>0</v>
      </c>
      <c r="AL22" s="617">
        <v>36</v>
      </c>
      <c r="AM22" s="617" t="s">
        <v>1304</v>
      </c>
      <c r="AN22" s="617">
        <v>0</v>
      </c>
      <c r="AO22" s="617">
        <v>0</v>
      </c>
      <c r="AP22" s="617" t="s">
        <v>53</v>
      </c>
      <c r="AQ22" s="617" t="s">
        <v>53</v>
      </c>
      <c r="AR22" s="617" t="s">
        <v>53</v>
      </c>
      <c r="AS22" s="617" t="s">
        <v>54</v>
      </c>
      <c r="AT22" s="608" t="s">
        <v>70</v>
      </c>
      <c r="AU22" s="618"/>
      <c r="AV22" s="618"/>
      <c r="AW22" s="618"/>
      <c r="AX22" s="618"/>
      <c r="AY22" s="618"/>
      <c r="AZ22" s="618"/>
      <c r="BA22" s="618"/>
      <c r="BB22" s="619"/>
      <c r="BC22" s="618"/>
      <c r="BD22" s="618"/>
      <c r="BE22" s="618"/>
      <c r="BF22" s="618"/>
      <c r="BG22" s="620">
        <f t="shared" si="24"/>
        <v>0</v>
      </c>
      <c r="BH22" s="618"/>
      <c r="BI22" s="618"/>
      <c r="BJ22" s="618"/>
      <c r="BK22" s="618"/>
      <c r="BL22" s="618"/>
      <c r="BM22" s="618">
        <f>13500+5500+46800</f>
        <v>65800</v>
      </c>
      <c r="BN22" s="618"/>
      <c r="BO22" s="618"/>
      <c r="BP22" s="618">
        <v>11500</v>
      </c>
      <c r="BQ22" s="618">
        <v>3530</v>
      </c>
      <c r="BR22" s="618">
        <f>1950+8550+19450</f>
        <v>29950</v>
      </c>
      <c r="BS22" s="618">
        <f>8750+8500+8950</f>
        <v>26200</v>
      </c>
      <c r="BT22" s="620">
        <f t="shared" si="25"/>
        <v>136980</v>
      </c>
      <c r="BU22" s="618"/>
      <c r="BV22" s="618"/>
      <c r="BW22" s="618"/>
      <c r="BX22" s="618"/>
      <c r="BY22" s="618"/>
      <c r="BZ22" s="618"/>
      <c r="CA22" s="618"/>
      <c r="CB22" s="618"/>
      <c r="CC22" s="618"/>
      <c r="CD22" s="618"/>
      <c r="CE22" s="618"/>
      <c r="CF22" s="618"/>
      <c r="CG22" s="621">
        <f t="shared" si="8"/>
        <v>0</v>
      </c>
      <c r="CH22" s="622">
        <f>148725+539658.3</f>
        <v>688383.3</v>
      </c>
      <c r="CI22" s="547"/>
      <c r="CJ22" s="547"/>
      <c r="CK22" s="547"/>
      <c r="CL22" s="547"/>
      <c r="CM22" s="547"/>
      <c r="CN22" s="547"/>
      <c r="CO22" s="547">
        <v>496334.6</v>
      </c>
      <c r="CP22" s="547"/>
      <c r="CQ22" s="547"/>
      <c r="CR22" s="547"/>
      <c r="CS22" s="547"/>
      <c r="CT22" s="623">
        <f t="shared" si="10"/>
        <v>1184717.8999999999</v>
      </c>
      <c r="CU22" s="469"/>
      <c r="CV22" s="469"/>
      <c r="CW22" s="469"/>
      <c r="CX22" s="469"/>
      <c r="CY22" s="469"/>
      <c r="CZ22" s="469"/>
      <c r="DA22" s="469">
        <v>541051.19999999995</v>
      </c>
      <c r="DB22" s="469"/>
      <c r="DC22" s="469"/>
      <c r="DD22" s="469"/>
      <c r="DE22" s="469">
        <v>9500.0005000000001</v>
      </c>
      <c r="DF22" s="469"/>
      <c r="DG22" s="469">
        <f t="shared" si="0"/>
        <v>550551.20049999992</v>
      </c>
      <c r="DH22" s="469"/>
      <c r="DI22" s="469">
        <f>9500+9500</f>
        <v>19000</v>
      </c>
      <c r="DJ22" s="469"/>
      <c r="DK22" s="469">
        <f>9500+9500</f>
        <v>19000</v>
      </c>
      <c r="DL22" s="469">
        <v>9500</v>
      </c>
      <c r="DM22" s="469"/>
      <c r="DN22" s="469"/>
      <c r="DO22" s="469">
        <f>9500+9500+9500</f>
        <v>28500</v>
      </c>
      <c r="DP22" s="469">
        <f>9500+610743.5+610743.5</f>
        <v>1230987</v>
      </c>
      <c r="DQ22" s="469"/>
      <c r="DR22" s="469"/>
      <c r="DS22" s="469">
        <f>9500+9500</f>
        <v>19000</v>
      </c>
      <c r="DT22" s="907">
        <f t="shared" si="6"/>
        <v>1325987</v>
      </c>
    </row>
    <row r="23" spans="1:124" s="624" customFormat="1" ht="48.75" thickBot="1" x14ac:dyDescent="0.25">
      <c r="A23" s="469" t="s">
        <v>466</v>
      </c>
      <c r="B23" s="608" t="s">
        <v>107</v>
      </c>
      <c r="C23" s="469" t="s">
        <v>467</v>
      </c>
      <c r="D23" s="469" t="s">
        <v>468</v>
      </c>
      <c r="E23" s="469"/>
      <c r="F23" s="469" t="s">
        <v>469</v>
      </c>
      <c r="G23" s="469" t="s">
        <v>49</v>
      </c>
      <c r="H23" s="608" t="s">
        <v>354</v>
      </c>
      <c r="I23" s="608" t="s">
        <v>363</v>
      </c>
      <c r="J23" s="609">
        <v>44376</v>
      </c>
      <c r="K23" s="609">
        <v>45472</v>
      </c>
      <c r="L23" s="610">
        <f>1252523.75*3</f>
        <v>3757571.25</v>
      </c>
      <c r="M23" s="611"/>
      <c r="N23" s="612">
        <f t="shared" si="11"/>
        <v>0</v>
      </c>
      <c r="O23" s="612">
        <f t="shared" si="12"/>
        <v>0</v>
      </c>
      <c r="P23" s="613">
        <f t="shared" si="13"/>
        <v>3757571.25</v>
      </c>
      <c r="Q23" s="611">
        <f t="shared" si="14"/>
        <v>0</v>
      </c>
      <c r="R23" s="612">
        <f t="shared" si="15"/>
        <v>0</v>
      </c>
      <c r="S23" s="612">
        <f t="shared" si="16"/>
        <v>0</v>
      </c>
      <c r="T23" s="613">
        <f t="shared" si="17"/>
        <v>3757571.25</v>
      </c>
      <c r="U23" s="611">
        <f t="shared" si="18"/>
        <v>0</v>
      </c>
      <c r="V23" s="612">
        <f t="shared" si="19"/>
        <v>650443.88</v>
      </c>
      <c r="W23" s="612">
        <f t="shared" si="20"/>
        <v>650443.88</v>
      </c>
      <c r="X23" s="614">
        <f t="shared" si="21"/>
        <v>3107127.37</v>
      </c>
      <c r="Y23" s="611">
        <f t="shared" si="1"/>
        <v>650443.88</v>
      </c>
      <c r="Z23" s="612">
        <f t="shared" si="22"/>
        <v>3247313.2199999997</v>
      </c>
      <c r="AA23" s="612">
        <f t="shared" si="7"/>
        <v>3897757.0999999996</v>
      </c>
      <c r="AB23" s="613">
        <f t="shared" si="26"/>
        <v>-140185.84999999963</v>
      </c>
      <c r="AC23" s="615">
        <f t="shared" si="2"/>
        <v>3897757.0999999996</v>
      </c>
      <c r="AD23" s="615">
        <f t="shared" si="3"/>
        <v>3270297.42</v>
      </c>
      <c r="AE23" s="615">
        <f>AC23+AD23</f>
        <v>7168054.5199999996</v>
      </c>
      <c r="AF23" s="615">
        <f t="shared" si="5"/>
        <v>-140185.84999999963</v>
      </c>
      <c r="AG23" s="615"/>
      <c r="AH23" s="615"/>
      <c r="AI23" s="615"/>
      <c r="AJ23" s="615"/>
      <c r="AK23" s="616">
        <v>0</v>
      </c>
      <c r="AL23" s="617">
        <v>36</v>
      </c>
      <c r="AM23" s="617" t="s">
        <v>1304</v>
      </c>
      <c r="AN23" s="617">
        <v>0</v>
      </c>
      <c r="AO23" s="617">
        <v>0</v>
      </c>
      <c r="AP23" s="617" t="s">
        <v>53</v>
      </c>
      <c r="AQ23" s="617" t="s">
        <v>53</v>
      </c>
      <c r="AR23" s="617" t="s">
        <v>53</v>
      </c>
      <c r="AS23" s="617" t="s">
        <v>54</v>
      </c>
      <c r="AT23" s="608" t="s">
        <v>70</v>
      </c>
      <c r="AU23" s="618"/>
      <c r="AV23" s="618"/>
      <c r="AW23" s="618"/>
      <c r="AX23" s="618"/>
      <c r="AY23" s="618"/>
      <c r="AZ23" s="618"/>
      <c r="BA23" s="618"/>
      <c r="BB23" s="619"/>
      <c r="BC23" s="618"/>
      <c r="BD23" s="618"/>
      <c r="BE23" s="618"/>
      <c r="BF23" s="618"/>
      <c r="BG23" s="620">
        <f t="shared" si="24"/>
        <v>0</v>
      </c>
      <c r="BH23" s="618"/>
      <c r="BI23" s="618"/>
      <c r="BJ23" s="618"/>
      <c r="BK23" s="618"/>
      <c r="BL23" s="618"/>
      <c r="BM23" s="618"/>
      <c r="BN23" s="618"/>
      <c r="BO23" s="618"/>
      <c r="BP23" s="618"/>
      <c r="BQ23" s="618"/>
      <c r="BR23" s="618"/>
      <c r="BS23" s="618"/>
      <c r="BT23" s="620">
        <f t="shared" si="25"/>
        <v>0</v>
      </c>
      <c r="BU23" s="618"/>
      <c r="BV23" s="618"/>
      <c r="BW23" s="618"/>
      <c r="BX23" s="618"/>
      <c r="BY23" s="618"/>
      <c r="BZ23" s="618"/>
      <c r="CA23" s="618"/>
      <c r="CB23" s="618"/>
      <c r="CC23" s="618"/>
      <c r="CD23" s="618"/>
      <c r="CE23" s="618"/>
      <c r="CF23" s="618">
        <v>650443.88</v>
      </c>
      <c r="CG23" s="621">
        <f t="shared" si="8"/>
        <v>650443.88</v>
      </c>
      <c r="CH23" s="909">
        <v>659409.29</v>
      </c>
      <c r="CI23" s="547">
        <v>697761.36</v>
      </c>
      <c r="CJ23" s="547">
        <v>493867.04</v>
      </c>
      <c r="CK23" s="547">
        <v>396329.49</v>
      </c>
      <c r="CL23" s="547">
        <v>404071.49</v>
      </c>
      <c r="CM23" s="547"/>
      <c r="CN23" s="547"/>
      <c r="CO23" s="547"/>
      <c r="CP23" s="547"/>
      <c r="CQ23" s="547"/>
      <c r="CR23" s="547"/>
      <c r="CS23" s="547">
        <v>595874.55000000005</v>
      </c>
      <c r="CT23" s="623">
        <f t="shared" si="10"/>
        <v>3247313.2199999997</v>
      </c>
      <c r="CU23" s="469"/>
      <c r="CW23" s="469">
        <v>493639.55</v>
      </c>
      <c r="CX23" s="469">
        <v>555534.24</v>
      </c>
      <c r="CY23" s="469">
        <v>469930.65</v>
      </c>
      <c r="CZ23" s="469"/>
      <c r="DA23" s="469">
        <v>446974.24</v>
      </c>
      <c r="DB23" s="469"/>
      <c r="DC23" s="469">
        <v>432024.24</v>
      </c>
      <c r="DD23" s="469">
        <v>479739.75</v>
      </c>
      <c r="DE23" s="469">
        <v>392454.75</v>
      </c>
      <c r="DF23" s="469"/>
      <c r="DG23" s="469">
        <f t="shared" si="0"/>
        <v>3270297.42</v>
      </c>
      <c r="DH23" s="469"/>
      <c r="DI23" s="469">
        <v>390051.25</v>
      </c>
      <c r="DJ23" s="469">
        <v>573116.02</v>
      </c>
      <c r="DK23" s="469">
        <v>404746.58</v>
      </c>
      <c r="DL23" s="469">
        <v>362140.92</v>
      </c>
      <c r="DM23" s="469"/>
      <c r="DN23" s="469">
        <v>202377.58</v>
      </c>
      <c r="DO23" s="469"/>
      <c r="DP23" s="469"/>
      <c r="DQ23" s="469"/>
      <c r="DR23" s="469"/>
      <c r="DS23" s="469"/>
      <c r="DT23" s="907">
        <f t="shared" si="6"/>
        <v>1932432.35</v>
      </c>
    </row>
    <row r="24" spans="1:124" ht="48.75" hidden="1" thickBot="1" x14ac:dyDescent="0.25">
      <c r="A24" s="4" t="s">
        <v>466</v>
      </c>
      <c r="B24" s="33" t="s">
        <v>107</v>
      </c>
      <c r="C24" s="1" t="s">
        <v>467</v>
      </c>
      <c r="D24" s="1" t="s">
        <v>461</v>
      </c>
      <c r="E24" s="1"/>
      <c r="F24" s="1" t="s">
        <v>462</v>
      </c>
      <c r="G24" s="1" t="s">
        <v>49</v>
      </c>
      <c r="H24" s="33" t="s">
        <v>354</v>
      </c>
      <c r="I24" s="33" t="s">
        <v>363</v>
      </c>
      <c r="J24" s="58">
        <v>44376</v>
      </c>
      <c r="K24" s="58">
        <v>45472</v>
      </c>
      <c r="L24" s="195">
        <v>4457004.37</v>
      </c>
      <c r="M24" s="135"/>
      <c r="N24" s="136">
        <f t="shared" si="11"/>
        <v>0</v>
      </c>
      <c r="O24" s="136">
        <f t="shared" si="12"/>
        <v>0</v>
      </c>
      <c r="P24" s="137">
        <f t="shared" si="13"/>
        <v>4457004.37</v>
      </c>
      <c r="Q24" s="135">
        <f t="shared" si="14"/>
        <v>0</v>
      </c>
      <c r="R24" s="136">
        <f t="shared" si="15"/>
        <v>0</v>
      </c>
      <c r="S24" s="136">
        <f t="shared" si="16"/>
        <v>0</v>
      </c>
      <c r="T24" s="137">
        <f t="shared" si="17"/>
        <v>4457004.37</v>
      </c>
      <c r="U24" s="135">
        <f t="shared" si="18"/>
        <v>0</v>
      </c>
      <c r="V24" s="136">
        <f t="shared" si="19"/>
        <v>0</v>
      </c>
      <c r="W24" s="136">
        <f t="shared" si="20"/>
        <v>0</v>
      </c>
      <c r="X24" s="207">
        <f t="shared" si="21"/>
        <v>4457004.37</v>
      </c>
      <c r="Y24" s="135">
        <f t="shared" si="1"/>
        <v>0</v>
      </c>
      <c r="Z24" s="136">
        <f t="shared" si="22"/>
        <v>0</v>
      </c>
      <c r="AA24" s="136">
        <f t="shared" si="7"/>
        <v>0</v>
      </c>
      <c r="AB24" s="137">
        <f t="shared" si="26"/>
        <v>4457004.37</v>
      </c>
      <c r="AC24" s="362">
        <f t="shared" si="2"/>
        <v>0</v>
      </c>
      <c r="AD24" s="362">
        <f t="shared" si="3"/>
        <v>0</v>
      </c>
      <c r="AE24" s="362">
        <f t="shared" si="4"/>
        <v>0</v>
      </c>
      <c r="AF24" s="362">
        <f t="shared" si="5"/>
        <v>4457004.37</v>
      </c>
      <c r="AG24" s="362"/>
      <c r="AH24" s="362"/>
      <c r="AI24" s="362"/>
      <c r="AJ24" s="362"/>
      <c r="AK24" s="171">
        <v>0</v>
      </c>
      <c r="AL24" s="46">
        <v>36</v>
      </c>
      <c r="AM24" s="46" t="s">
        <v>1304</v>
      </c>
      <c r="AN24" s="46">
        <v>0</v>
      </c>
      <c r="AO24" s="46">
        <v>0</v>
      </c>
      <c r="AP24" s="46" t="s">
        <v>53</v>
      </c>
      <c r="AQ24" s="46" t="s">
        <v>53</v>
      </c>
      <c r="AR24" s="46" t="s">
        <v>53</v>
      </c>
      <c r="AS24" s="46" t="s">
        <v>54</v>
      </c>
      <c r="AT24" s="33" t="s">
        <v>70</v>
      </c>
      <c r="AU24" s="15"/>
      <c r="AV24" s="15"/>
      <c r="AW24" s="15"/>
      <c r="AX24" s="15"/>
      <c r="AY24" s="15"/>
      <c r="AZ24" s="15"/>
      <c r="BA24" s="15"/>
      <c r="BB24" s="108"/>
      <c r="BC24" s="15"/>
      <c r="BD24" s="15"/>
      <c r="BE24" s="15"/>
      <c r="BF24" s="15"/>
      <c r="BG24" s="102">
        <f t="shared" si="24"/>
        <v>0</v>
      </c>
      <c r="BH24" s="15"/>
      <c r="BI24" s="15"/>
      <c r="BJ24" s="15"/>
      <c r="BK24" s="15"/>
      <c r="BL24" s="15"/>
      <c r="BM24" s="15"/>
      <c r="BN24" s="15"/>
      <c r="BO24" s="15"/>
      <c r="BP24" s="15"/>
      <c r="BQ24" s="15"/>
      <c r="BR24" s="15"/>
      <c r="BS24" s="15"/>
      <c r="BT24" s="102">
        <f t="shared" si="25"/>
        <v>0</v>
      </c>
      <c r="BU24" s="15"/>
      <c r="BV24" s="15"/>
      <c r="BW24" s="15"/>
      <c r="BX24" s="15"/>
      <c r="BY24" s="15"/>
      <c r="BZ24" s="15"/>
      <c r="CA24" s="15"/>
      <c r="CB24" s="15"/>
      <c r="CC24" s="15"/>
      <c r="CD24" s="15"/>
      <c r="CE24" s="15"/>
      <c r="CF24" s="15"/>
      <c r="CG24" s="494">
        <f t="shared" si="8"/>
        <v>0</v>
      </c>
      <c r="CH24" s="241">
        <v>0</v>
      </c>
      <c r="CI24" s="42"/>
      <c r="CJ24" s="42"/>
      <c r="CK24" s="42"/>
      <c r="CL24" s="42"/>
      <c r="CM24" s="42"/>
      <c r="CN24" s="42"/>
      <c r="CO24" s="42"/>
      <c r="CP24" s="42"/>
      <c r="CQ24" s="42"/>
      <c r="CR24" s="42"/>
      <c r="CS24" s="42"/>
      <c r="CT24" s="365">
        <f t="shared" si="10"/>
        <v>0</v>
      </c>
      <c r="CU24" s="1"/>
      <c r="CV24" s="1"/>
      <c r="CW24" s="1"/>
      <c r="CX24" s="1"/>
      <c r="CY24" s="1"/>
      <c r="CZ24" s="1"/>
      <c r="DA24" s="1">
        <v>0</v>
      </c>
      <c r="DB24" s="1"/>
      <c r="DC24" s="1"/>
      <c r="DD24" s="1"/>
      <c r="DE24" s="1">
        <v>0</v>
      </c>
      <c r="DF24" s="1"/>
      <c r="DG24" s="1">
        <f t="shared" si="0"/>
        <v>0</v>
      </c>
      <c r="DH24" s="1"/>
      <c r="DI24" s="1"/>
      <c r="DJ24" s="1"/>
      <c r="DK24" s="1"/>
      <c r="DL24" s="1"/>
      <c r="DM24" s="1"/>
      <c r="DN24" s="1"/>
      <c r="DO24" s="1"/>
      <c r="DP24" s="1"/>
      <c r="DQ24" s="1"/>
      <c r="DR24" s="1"/>
      <c r="DS24" s="1"/>
      <c r="DT24" s="96">
        <f t="shared" si="6"/>
        <v>0</v>
      </c>
    </row>
    <row r="25" spans="1:124" ht="48.75" hidden="1" thickBot="1" x14ac:dyDescent="0.25">
      <c r="A25" s="4" t="s">
        <v>466</v>
      </c>
      <c r="B25" s="33" t="s">
        <v>107</v>
      </c>
      <c r="C25" s="1" t="s">
        <v>467</v>
      </c>
      <c r="D25" s="1" t="s">
        <v>474</v>
      </c>
      <c r="E25" s="1"/>
      <c r="F25" s="1" t="s">
        <v>475</v>
      </c>
      <c r="G25" s="1" t="s">
        <v>49</v>
      </c>
      <c r="H25" s="33" t="s">
        <v>354</v>
      </c>
      <c r="I25" s="33" t="s">
        <v>363</v>
      </c>
      <c r="J25" s="58">
        <v>44376</v>
      </c>
      <c r="K25" s="58">
        <v>45472</v>
      </c>
      <c r="L25" s="195">
        <v>4643706.9000000004</v>
      </c>
      <c r="M25" s="135"/>
      <c r="N25" s="136">
        <f t="shared" si="11"/>
        <v>0</v>
      </c>
      <c r="O25" s="136">
        <f t="shared" si="12"/>
        <v>0</v>
      </c>
      <c r="P25" s="137">
        <f t="shared" si="13"/>
        <v>4643706.9000000004</v>
      </c>
      <c r="Q25" s="135">
        <f t="shared" si="14"/>
        <v>0</v>
      </c>
      <c r="R25" s="136">
        <f t="shared" si="15"/>
        <v>0</v>
      </c>
      <c r="S25" s="136">
        <f t="shared" si="16"/>
        <v>0</v>
      </c>
      <c r="T25" s="137">
        <f t="shared" si="17"/>
        <v>4643706.9000000004</v>
      </c>
      <c r="U25" s="135">
        <f t="shared" si="18"/>
        <v>0</v>
      </c>
      <c r="V25" s="136">
        <f t="shared" si="19"/>
        <v>0</v>
      </c>
      <c r="W25" s="136">
        <f t="shared" si="20"/>
        <v>0</v>
      </c>
      <c r="X25" s="207">
        <f t="shared" si="21"/>
        <v>4643706.9000000004</v>
      </c>
      <c r="Y25" s="135">
        <f t="shared" si="1"/>
        <v>0</v>
      </c>
      <c r="Z25" s="136">
        <f t="shared" si="22"/>
        <v>0</v>
      </c>
      <c r="AA25" s="136">
        <f t="shared" si="7"/>
        <v>0</v>
      </c>
      <c r="AB25" s="137">
        <f t="shared" si="26"/>
        <v>4643706.9000000004</v>
      </c>
      <c r="AC25" s="362">
        <f t="shared" si="2"/>
        <v>0</v>
      </c>
      <c r="AD25" s="362">
        <f t="shared" si="3"/>
        <v>0</v>
      </c>
      <c r="AE25" s="362">
        <f t="shared" si="4"/>
        <v>0</v>
      </c>
      <c r="AF25" s="362">
        <f t="shared" si="5"/>
        <v>4643706.9000000004</v>
      </c>
      <c r="AG25" s="362"/>
      <c r="AH25" s="362"/>
      <c r="AI25" s="362"/>
      <c r="AJ25" s="362"/>
      <c r="AK25" s="171">
        <v>0</v>
      </c>
      <c r="AL25" s="46">
        <v>36</v>
      </c>
      <c r="AM25" s="46" t="s">
        <v>1304</v>
      </c>
      <c r="AN25" s="46">
        <v>0</v>
      </c>
      <c r="AO25" s="46">
        <v>0</v>
      </c>
      <c r="AP25" s="46" t="s">
        <v>53</v>
      </c>
      <c r="AQ25" s="46" t="s">
        <v>53</v>
      </c>
      <c r="AR25" s="46" t="s">
        <v>53</v>
      </c>
      <c r="AS25" s="46" t="s">
        <v>54</v>
      </c>
      <c r="AT25" s="33" t="s">
        <v>70</v>
      </c>
      <c r="AU25" s="15"/>
      <c r="AV25" s="15"/>
      <c r="AW25" s="15"/>
      <c r="AX25" s="15"/>
      <c r="AY25" s="15"/>
      <c r="AZ25" s="15"/>
      <c r="BA25" s="15"/>
      <c r="BB25" s="108"/>
      <c r="BC25" s="15"/>
      <c r="BD25" s="15"/>
      <c r="BE25" s="15"/>
      <c r="BF25" s="15"/>
      <c r="BG25" s="102">
        <f t="shared" si="24"/>
        <v>0</v>
      </c>
      <c r="BH25" s="15"/>
      <c r="BI25" s="15"/>
      <c r="BJ25" s="15"/>
      <c r="BK25" s="15"/>
      <c r="BL25" s="15"/>
      <c r="BM25" s="15"/>
      <c r="BN25" s="15"/>
      <c r="BO25" s="15"/>
      <c r="BP25" s="15"/>
      <c r="BQ25" s="15"/>
      <c r="BR25" s="15"/>
      <c r="BS25" s="15"/>
      <c r="BT25" s="102">
        <f t="shared" si="25"/>
        <v>0</v>
      </c>
      <c r="BU25" s="15"/>
      <c r="BV25" s="15"/>
      <c r="BW25" s="15"/>
      <c r="BX25" s="15"/>
      <c r="BY25" s="15"/>
      <c r="BZ25" s="15"/>
      <c r="CA25" s="15"/>
      <c r="CB25" s="15"/>
      <c r="CC25" s="15"/>
      <c r="CD25" s="15"/>
      <c r="CE25" s="15"/>
      <c r="CF25" s="15"/>
      <c r="CG25" s="494">
        <f t="shared" si="8"/>
        <v>0</v>
      </c>
      <c r="CH25" s="241">
        <v>0</v>
      </c>
      <c r="CI25" s="42"/>
      <c r="CJ25" s="42"/>
      <c r="CK25" s="42"/>
      <c r="CL25" s="42"/>
      <c r="CM25" s="42"/>
      <c r="CN25" s="42"/>
      <c r="CO25" s="42"/>
      <c r="CP25" s="42"/>
      <c r="CQ25" s="42"/>
      <c r="CR25" s="42"/>
      <c r="CS25" s="42"/>
      <c r="CT25" s="365">
        <f t="shared" si="10"/>
        <v>0</v>
      </c>
      <c r="CU25" s="1"/>
      <c r="CV25" s="1"/>
      <c r="CW25" s="1"/>
      <c r="CX25" s="1"/>
      <c r="CY25" s="1"/>
      <c r="CZ25" s="1"/>
      <c r="DA25" s="1"/>
      <c r="DB25" s="1"/>
      <c r="DC25" s="1"/>
      <c r="DD25" s="1"/>
      <c r="DE25" s="1"/>
      <c r="DF25" s="1"/>
      <c r="DG25" s="1">
        <f t="shared" si="0"/>
        <v>0</v>
      </c>
      <c r="DH25" s="1"/>
      <c r="DI25" s="1"/>
      <c r="DJ25" s="1"/>
      <c r="DK25" s="1"/>
      <c r="DL25" s="1"/>
      <c r="DM25" s="1"/>
      <c r="DN25" s="1"/>
      <c r="DO25" s="1"/>
      <c r="DP25" s="1"/>
      <c r="DQ25" s="1"/>
      <c r="DR25" s="1"/>
      <c r="DS25" s="1"/>
      <c r="DT25" s="96">
        <f t="shared" si="6"/>
        <v>0</v>
      </c>
    </row>
    <row r="26" spans="1:124" ht="48.75" hidden="1" thickBot="1" x14ac:dyDescent="0.25">
      <c r="A26" s="4" t="s">
        <v>466</v>
      </c>
      <c r="B26" s="33" t="s">
        <v>107</v>
      </c>
      <c r="C26" s="1" t="s">
        <v>467</v>
      </c>
      <c r="D26" s="1" t="s">
        <v>476</v>
      </c>
      <c r="E26" s="1"/>
      <c r="F26" s="1" t="s">
        <v>477</v>
      </c>
      <c r="G26" s="1" t="s">
        <v>49</v>
      </c>
      <c r="H26" s="33" t="s">
        <v>354</v>
      </c>
      <c r="I26" s="33" t="s">
        <v>363</v>
      </c>
      <c r="J26" s="58">
        <v>44376</v>
      </c>
      <c r="K26" s="58">
        <v>45472</v>
      </c>
      <c r="L26" s="195">
        <v>4500000</v>
      </c>
      <c r="M26" s="135"/>
      <c r="N26" s="136">
        <f t="shared" si="11"/>
        <v>0</v>
      </c>
      <c r="O26" s="136">
        <f t="shared" si="12"/>
        <v>0</v>
      </c>
      <c r="P26" s="137">
        <f t="shared" si="13"/>
        <v>4500000</v>
      </c>
      <c r="Q26" s="135">
        <f t="shared" si="14"/>
        <v>0</v>
      </c>
      <c r="R26" s="136">
        <f t="shared" si="15"/>
        <v>0</v>
      </c>
      <c r="S26" s="136">
        <f t="shared" si="16"/>
        <v>0</v>
      </c>
      <c r="T26" s="137">
        <f t="shared" si="17"/>
        <v>4500000</v>
      </c>
      <c r="U26" s="135">
        <f t="shared" si="18"/>
        <v>0</v>
      </c>
      <c r="V26" s="136">
        <f t="shared" si="19"/>
        <v>0</v>
      </c>
      <c r="W26" s="136">
        <f t="shared" si="20"/>
        <v>0</v>
      </c>
      <c r="X26" s="207">
        <f t="shared" si="21"/>
        <v>4500000</v>
      </c>
      <c r="Y26" s="135">
        <f t="shared" si="1"/>
        <v>0</v>
      </c>
      <c r="Z26" s="136">
        <f t="shared" si="22"/>
        <v>0</v>
      </c>
      <c r="AA26" s="136">
        <f t="shared" si="7"/>
        <v>0</v>
      </c>
      <c r="AB26" s="137">
        <f t="shared" si="26"/>
        <v>4500000</v>
      </c>
      <c r="AC26" s="362">
        <f t="shared" si="2"/>
        <v>0</v>
      </c>
      <c r="AD26" s="362">
        <f t="shared" si="3"/>
        <v>0</v>
      </c>
      <c r="AE26" s="362">
        <f t="shared" si="4"/>
        <v>0</v>
      </c>
      <c r="AF26" s="362">
        <f t="shared" si="5"/>
        <v>4500000</v>
      </c>
      <c r="AG26" s="362"/>
      <c r="AH26" s="362"/>
      <c r="AI26" s="362"/>
      <c r="AJ26" s="362"/>
      <c r="AK26" s="171">
        <v>0</v>
      </c>
      <c r="AL26" s="46">
        <v>36</v>
      </c>
      <c r="AM26" s="46" t="s">
        <v>1304</v>
      </c>
      <c r="AN26" s="46">
        <v>0</v>
      </c>
      <c r="AO26" s="46">
        <v>0</v>
      </c>
      <c r="AP26" s="46" t="s">
        <v>53</v>
      </c>
      <c r="AQ26" s="46" t="s">
        <v>53</v>
      </c>
      <c r="AR26" s="46" t="s">
        <v>53</v>
      </c>
      <c r="AS26" s="46" t="s">
        <v>54</v>
      </c>
      <c r="AT26" s="33" t="s">
        <v>70</v>
      </c>
      <c r="AU26" s="15"/>
      <c r="AV26" s="15"/>
      <c r="AW26" s="15"/>
      <c r="AX26" s="15"/>
      <c r="AY26" s="15"/>
      <c r="AZ26" s="15"/>
      <c r="BA26" s="15"/>
      <c r="BB26" s="108"/>
      <c r="BC26" s="15"/>
      <c r="BD26" s="15"/>
      <c r="BE26" s="15"/>
      <c r="BF26" s="15"/>
      <c r="BG26" s="102">
        <f t="shared" si="24"/>
        <v>0</v>
      </c>
      <c r="BH26" s="15"/>
      <c r="BI26" s="15"/>
      <c r="BJ26" s="15"/>
      <c r="BK26" s="15"/>
      <c r="BL26" s="15"/>
      <c r="BM26" s="15"/>
      <c r="BN26" s="15"/>
      <c r="BO26" s="15"/>
      <c r="BP26" s="15"/>
      <c r="BQ26" s="15"/>
      <c r="BR26" s="15"/>
      <c r="BS26" s="15"/>
      <c r="BT26" s="102">
        <f t="shared" si="25"/>
        <v>0</v>
      </c>
      <c r="BU26" s="15"/>
      <c r="BV26" s="15"/>
      <c r="BW26" s="15"/>
      <c r="BX26" s="15"/>
      <c r="BY26" s="15"/>
      <c r="BZ26" s="15"/>
      <c r="CA26" s="15"/>
      <c r="CB26" s="15"/>
      <c r="CC26" s="15"/>
      <c r="CD26" s="15"/>
      <c r="CE26" s="15"/>
      <c r="CF26" s="15"/>
      <c r="CG26" s="494">
        <f t="shared" si="8"/>
        <v>0</v>
      </c>
      <c r="CH26" s="241">
        <v>0</v>
      </c>
      <c r="CI26" s="42"/>
      <c r="CJ26" s="42"/>
      <c r="CK26" s="42"/>
      <c r="CL26" s="42"/>
      <c r="CM26" s="42"/>
      <c r="CN26" s="42"/>
      <c r="CO26" s="42"/>
      <c r="CP26" s="42"/>
      <c r="CQ26" s="42"/>
      <c r="CR26" s="42"/>
      <c r="CS26" s="42"/>
      <c r="CT26" s="365">
        <f t="shared" si="10"/>
        <v>0</v>
      </c>
      <c r="CU26" s="1"/>
      <c r="CV26" s="1"/>
      <c r="CW26" s="1"/>
      <c r="CX26" s="1"/>
      <c r="CY26" s="1"/>
      <c r="CZ26" s="1"/>
      <c r="DA26" s="1"/>
      <c r="DB26" s="1"/>
      <c r="DC26" s="1"/>
      <c r="DD26" s="1"/>
      <c r="DE26" s="1"/>
      <c r="DF26" s="1"/>
      <c r="DG26" s="1">
        <f t="shared" si="0"/>
        <v>0</v>
      </c>
      <c r="DH26" s="1"/>
      <c r="DI26" s="1"/>
      <c r="DJ26" s="1"/>
      <c r="DK26" s="1"/>
      <c r="DL26" s="1"/>
      <c r="DM26" s="1"/>
      <c r="DN26" s="1"/>
      <c r="DO26" s="1"/>
      <c r="DP26" s="1"/>
      <c r="DQ26" s="1"/>
      <c r="DR26" s="1"/>
      <c r="DS26" s="1"/>
      <c r="DT26" s="96">
        <f t="shared" si="6"/>
        <v>0</v>
      </c>
    </row>
    <row r="27" spans="1:124" s="624" customFormat="1" ht="48.75" thickBot="1" x14ac:dyDescent="0.25">
      <c r="A27" s="469" t="s">
        <v>478</v>
      </c>
      <c r="B27" s="608" t="s">
        <v>107</v>
      </c>
      <c r="C27" s="469" t="s">
        <v>479</v>
      </c>
      <c r="D27" s="469" t="s">
        <v>480</v>
      </c>
      <c r="E27" s="469"/>
      <c r="F27" s="469" t="s">
        <v>481</v>
      </c>
      <c r="G27" s="469" t="s">
        <v>49</v>
      </c>
      <c r="H27" s="608" t="s">
        <v>328</v>
      </c>
      <c r="I27" s="608" t="s">
        <v>329</v>
      </c>
      <c r="J27" s="609">
        <v>44376</v>
      </c>
      <c r="K27" s="609">
        <v>45472</v>
      </c>
      <c r="L27" s="610">
        <v>2079462.03</v>
      </c>
      <c r="M27" s="611"/>
      <c r="N27" s="612">
        <f t="shared" si="11"/>
        <v>0</v>
      </c>
      <c r="O27" s="612">
        <f t="shared" si="12"/>
        <v>0</v>
      </c>
      <c r="P27" s="613">
        <f t="shared" si="13"/>
        <v>2079462.03</v>
      </c>
      <c r="Q27" s="611">
        <f t="shared" si="14"/>
        <v>0</v>
      </c>
      <c r="R27" s="612">
        <f t="shared" si="15"/>
        <v>0</v>
      </c>
      <c r="S27" s="612">
        <f t="shared" si="16"/>
        <v>0</v>
      </c>
      <c r="T27" s="613">
        <f t="shared" si="17"/>
        <v>2079462.03</v>
      </c>
      <c r="U27" s="611">
        <f t="shared" si="18"/>
        <v>0</v>
      </c>
      <c r="V27" s="612">
        <f t="shared" si="19"/>
        <v>78898.63</v>
      </c>
      <c r="W27" s="612">
        <f t="shared" si="20"/>
        <v>78898.63</v>
      </c>
      <c r="X27" s="614">
        <f t="shared" si="21"/>
        <v>2000563.4</v>
      </c>
      <c r="Y27" s="611">
        <f t="shared" si="1"/>
        <v>78898.63</v>
      </c>
      <c r="Z27" s="612">
        <f t="shared" si="22"/>
        <v>491452.5</v>
      </c>
      <c r="AA27" s="612">
        <f t="shared" si="7"/>
        <v>570351.13</v>
      </c>
      <c r="AB27" s="613">
        <f t="shared" si="26"/>
        <v>1509110.9</v>
      </c>
      <c r="AC27" s="615">
        <f t="shared" si="2"/>
        <v>570351.13</v>
      </c>
      <c r="AD27" s="615">
        <f t="shared" si="3"/>
        <v>516810.01150000002</v>
      </c>
      <c r="AE27" s="615">
        <f t="shared" si="4"/>
        <v>1087161.1414999999</v>
      </c>
      <c r="AF27" s="615">
        <f t="shared" si="5"/>
        <v>1509110.9</v>
      </c>
      <c r="AG27" s="615"/>
      <c r="AH27" s="615"/>
      <c r="AI27" s="615"/>
      <c r="AJ27" s="615"/>
      <c r="AK27" s="616">
        <v>0</v>
      </c>
      <c r="AL27" s="617">
        <v>36</v>
      </c>
      <c r="AM27" s="617" t="s">
        <v>1304</v>
      </c>
      <c r="AN27" s="617">
        <v>0</v>
      </c>
      <c r="AO27" s="617">
        <v>0</v>
      </c>
      <c r="AP27" s="617" t="s">
        <v>53</v>
      </c>
      <c r="AQ27" s="617" t="s">
        <v>53</v>
      </c>
      <c r="AR27" s="617" t="s">
        <v>53</v>
      </c>
      <c r="AS27" s="617" t="s">
        <v>54</v>
      </c>
      <c r="AT27" s="608" t="s">
        <v>70</v>
      </c>
      <c r="AU27" s="618"/>
      <c r="AV27" s="618"/>
      <c r="AW27" s="618"/>
      <c r="AX27" s="618"/>
      <c r="AY27" s="618"/>
      <c r="AZ27" s="618"/>
      <c r="BA27" s="618"/>
      <c r="BB27" s="619"/>
      <c r="BC27" s="618"/>
      <c r="BD27" s="618"/>
      <c r="BE27" s="618"/>
      <c r="BF27" s="618"/>
      <c r="BG27" s="620">
        <f t="shared" si="24"/>
        <v>0</v>
      </c>
      <c r="BH27" s="618"/>
      <c r="BI27" s="618"/>
      <c r="BJ27" s="618"/>
      <c r="BK27" s="618"/>
      <c r="BL27" s="618"/>
      <c r="BM27" s="618"/>
      <c r="BN27" s="618"/>
      <c r="BO27" s="618"/>
      <c r="BP27" s="618"/>
      <c r="BQ27" s="618"/>
      <c r="BR27" s="618"/>
      <c r="BS27" s="618"/>
      <c r="BT27" s="620">
        <f t="shared" si="25"/>
        <v>0</v>
      </c>
      <c r="BU27" s="618"/>
      <c r="BV27" s="618"/>
      <c r="BW27" s="618"/>
      <c r="BX27" s="618"/>
      <c r="BY27" s="618"/>
      <c r="BZ27" s="618"/>
      <c r="CA27" s="618"/>
      <c r="CB27" s="618"/>
      <c r="CC27" s="618"/>
      <c r="CD27" s="618"/>
      <c r="CE27" s="618"/>
      <c r="CF27" s="618">
        <v>78898.63</v>
      </c>
      <c r="CG27" s="621">
        <f t="shared" si="8"/>
        <v>78898.63</v>
      </c>
      <c r="CH27" s="622">
        <v>40250</v>
      </c>
      <c r="CI27" s="547">
        <v>40250</v>
      </c>
      <c r="CJ27" s="547">
        <v>40250</v>
      </c>
      <c r="CK27" s="547">
        <v>40250</v>
      </c>
      <c r="CL27" s="547">
        <v>40250</v>
      </c>
      <c r="CM27" s="547">
        <v>40250</v>
      </c>
      <c r="CN27" s="547">
        <v>40250</v>
      </c>
      <c r="CO27" s="547">
        <v>40250</v>
      </c>
      <c r="CP27" s="547">
        <v>40250</v>
      </c>
      <c r="CQ27" s="547">
        <v>43067.5</v>
      </c>
      <c r="CR27" s="547">
        <v>43067.5</v>
      </c>
      <c r="CS27" s="547">
        <v>43067.5</v>
      </c>
      <c r="CT27" s="623">
        <f t="shared" si="10"/>
        <v>491452.5</v>
      </c>
      <c r="CU27" s="469">
        <v>43067.5</v>
      </c>
      <c r="CV27" s="469">
        <v>43067.5</v>
      </c>
      <c r="CW27" s="469">
        <v>43067.5</v>
      </c>
      <c r="CX27" s="469">
        <v>43067.5</v>
      </c>
      <c r="CY27" s="469">
        <v>43067.5</v>
      </c>
      <c r="CZ27" s="469">
        <v>43067.5</v>
      </c>
      <c r="DA27" s="469">
        <v>43067.5</v>
      </c>
      <c r="DB27" s="469"/>
      <c r="DC27" s="469">
        <f>43067.5+43067.5</f>
        <v>86135</v>
      </c>
      <c r="DD27" s="469">
        <v>43067.511500000001</v>
      </c>
      <c r="DE27" s="469">
        <v>43067.5</v>
      </c>
      <c r="DF27" s="469">
        <v>43067.5</v>
      </c>
      <c r="DG27" s="469">
        <f t="shared" si="0"/>
        <v>516810.01150000002</v>
      </c>
      <c r="DH27" s="469">
        <v>43067.5</v>
      </c>
      <c r="DI27" s="469">
        <v>43067.5</v>
      </c>
      <c r="DJ27" s="469">
        <v>43067.5</v>
      </c>
      <c r="DK27" s="469">
        <v>43067.5</v>
      </c>
      <c r="DL27" s="469"/>
      <c r="DM27" s="469">
        <v>43067.51</v>
      </c>
      <c r="DN27" s="469">
        <v>43067.51</v>
      </c>
      <c r="DO27" s="469"/>
      <c r="DP27" s="469"/>
      <c r="DQ27" s="469"/>
      <c r="DR27" s="469"/>
      <c r="DS27" s="469"/>
      <c r="DT27" s="907">
        <f t="shared" si="6"/>
        <v>258405.02000000002</v>
      </c>
    </row>
    <row r="28" spans="1:124" ht="12.75" thickBot="1" x14ac:dyDescent="0.25">
      <c r="C28" s="546" t="s">
        <v>1305</v>
      </c>
      <c r="L28" s="561"/>
      <c r="M28" s="162"/>
      <c r="N28" s="136"/>
      <c r="O28" s="136"/>
      <c r="P28" s="137"/>
      <c r="Q28" s="135"/>
      <c r="R28" s="136"/>
      <c r="S28" s="136"/>
      <c r="T28" s="137"/>
      <c r="U28" s="135"/>
      <c r="V28" s="136"/>
      <c r="W28" s="136"/>
      <c r="X28" s="207"/>
      <c r="Y28" s="135">
        <f t="shared" si="1"/>
        <v>0</v>
      </c>
      <c r="Z28" s="136"/>
      <c r="AA28" s="136"/>
      <c r="AB28" s="136"/>
      <c r="AC28" s="362">
        <f t="shared" si="2"/>
        <v>0</v>
      </c>
      <c r="AD28" s="362">
        <f t="shared" si="3"/>
        <v>0</v>
      </c>
      <c r="AE28" s="362">
        <f t="shared" si="4"/>
        <v>0</v>
      </c>
      <c r="AF28" s="362">
        <f t="shared" si="5"/>
        <v>0</v>
      </c>
      <c r="AG28" s="362"/>
      <c r="AH28" s="362"/>
      <c r="AI28" s="362"/>
      <c r="AJ28" s="362"/>
      <c r="AK28" s="173"/>
      <c r="AL28" s="46"/>
      <c r="AM28" s="46"/>
      <c r="AN28" s="46"/>
      <c r="AO28" s="46"/>
      <c r="AP28" s="46"/>
      <c r="AQ28" s="46"/>
      <c r="AR28" s="46"/>
      <c r="AS28" s="46"/>
      <c r="AT28" s="1"/>
      <c r="AU28" s="15"/>
      <c r="AV28" s="15"/>
      <c r="AW28" s="15"/>
      <c r="AX28" s="15"/>
      <c r="AY28" s="15"/>
      <c r="AZ28" s="15"/>
      <c r="BA28" s="15"/>
      <c r="BB28" s="213"/>
      <c r="BC28" s="213"/>
      <c r="BD28" s="213"/>
      <c r="BE28" s="213"/>
      <c r="BF28" s="213"/>
      <c r="BG28" s="214"/>
      <c r="BH28" s="213"/>
      <c r="BI28" s="213"/>
      <c r="BJ28" s="213"/>
      <c r="BK28" s="213"/>
      <c r="BL28" s="213"/>
      <c r="BM28" s="213"/>
      <c r="BN28" s="213"/>
      <c r="BO28" s="213"/>
      <c r="BP28" s="213"/>
      <c r="BQ28" s="213"/>
      <c r="BR28" s="213"/>
      <c r="BS28" s="213"/>
      <c r="BT28" s="213"/>
      <c r="BU28" s="213"/>
      <c r="BV28" s="213"/>
      <c r="BW28" s="213"/>
      <c r="BX28" s="213"/>
      <c r="BY28" s="213"/>
      <c r="BZ28" s="213"/>
      <c r="CA28" s="213"/>
      <c r="CB28" s="213"/>
      <c r="CC28" s="213"/>
      <c r="CD28" s="213"/>
      <c r="CE28" s="213"/>
      <c r="CF28" s="213"/>
      <c r="CG28" s="494">
        <f t="shared" si="8"/>
        <v>0</v>
      </c>
      <c r="CH28" s="241"/>
      <c r="CI28" s="42"/>
      <c r="CJ28" s="42"/>
      <c r="CK28" s="42"/>
      <c r="CL28" s="42"/>
      <c r="CM28" s="42"/>
      <c r="CN28" s="42"/>
      <c r="CO28" s="42"/>
      <c r="CP28" s="42"/>
      <c r="CQ28" s="42"/>
      <c r="CR28" s="42"/>
      <c r="CS28" s="42"/>
      <c r="CT28" s="365">
        <f t="shared" si="10"/>
        <v>0</v>
      </c>
      <c r="CU28" s="1"/>
      <c r="CV28" s="1"/>
      <c r="CW28" s="1"/>
      <c r="CX28" s="1"/>
      <c r="CY28" s="1"/>
      <c r="CZ28" s="1"/>
      <c r="DA28" s="1"/>
      <c r="DB28" s="1"/>
      <c r="DC28" s="1"/>
      <c r="DD28" s="1"/>
      <c r="DE28" s="1"/>
      <c r="DF28" s="1"/>
      <c r="DG28" s="1">
        <f t="shared" si="0"/>
        <v>0</v>
      </c>
      <c r="DH28" s="1"/>
      <c r="DI28" s="1"/>
      <c r="DJ28" s="1"/>
      <c r="DK28" s="1"/>
      <c r="DL28" s="1"/>
      <c r="DM28" s="1"/>
      <c r="DN28" s="1"/>
      <c r="DO28" s="1"/>
      <c r="DP28" s="1"/>
      <c r="DQ28" s="1"/>
      <c r="DR28" s="1"/>
      <c r="DS28" s="1"/>
      <c r="DT28" s="96">
        <f t="shared" si="6"/>
        <v>0</v>
      </c>
    </row>
    <row r="29" spans="1:124" s="624" customFormat="1" ht="48" x14ac:dyDescent="0.2">
      <c r="A29" s="469" t="s">
        <v>464</v>
      </c>
      <c r="B29" s="469" t="s">
        <v>107</v>
      </c>
      <c r="C29" s="469" t="s">
        <v>484</v>
      </c>
      <c r="D29" s="469" t="s">
        <v>485</v>
      </c>
      <c r="E29" s="469"/>
      <c r="F29" s="469" t="s">
        <v>486</v>
      </c>
      <c r="G29" s="469" t="s">
        <v>49</v>
      </c>
      <c r="H29" s="469" t="s">
        <v>354</v>
      </c>
      <c r="I29" s="469" t="s">
        <v>344</v>
      </c>
      <c r="J29" s="910">
        <v>44396</v>
      </c>
      <c r="K29" s="910">
        <v>45492</v>
      </c>
      <c r="L29" s="610">
        <v>114959.24</v>
      </c>
      <c r="M29" s="976"/>
      <c r="N29" s="612">
        <f t="shared" ref="N29:N30" si="27">BG29</f>
        <v>0</v>
      </c>
      <c r="O29" s="612">
        <f t="shared" ref="O29:O30" si="28">M29+N29</f>
        <v>0</v>
      </c>
      <c r="P29" s="613">
        <f t="shared" ref="P29:P30" si="29">L29-O29</f>
        <v>114959.24</v>
      </c>
      <c r="Q29" s="611">
        <f t="shared" ref="Q29:Q30" si="30">O29</f>
        <v>0</v>
      </c>
      <c r="R29" s="612">
        <f t="shared" ref="R29:R30" si="31">BT29</f>
        <v>0</v>
      </c>
      <c r="S29" s="612">
        <f t="shared" ref="S29:S30" si="32">Q29+R29</f>
        <v>0</v>
      </c>
      <c r="T29" s="613">
        <f t="shared" ref="T29:T30" si="33">L29-S29</f>
        <v>114959.24</v>
      </c>
      <c r="U29" s="611">
        <f t="shared" ref="U29:U30" si="34">S29</f>
        <v>0</v>
      </c>
      <c r="V29" s="612">
        <f t="shared" ref="V29:V30" si="35">CG29</f>
        <v>3251.35</v>
      </c>
      <c r="W29" s="612">
        <f t="shared" ref="W29:W30" si="36">U29+V29</f>
        <v>3251.35</v>
      </c>
      <c r="X29" s="614">
        <f t="shared" ref="X29:X30" si="37">L29-W29</f>
        <v>111707.89</v>
      </c>
      <c r="Y29" s="611">
        <f t="shared" si="1"/>
        <v>3251.35</v>
      </c>
      <c r="Z29" s="612">
        <f t="shared" ref="Z29:Z30" si="38">CT29</f>
        <v>39530.799999999996</v>
      </c>
      <c r="AA29" s="612">
        <f t="shared" ref="AA29:AA30" si="39">Y29+Z29</f>
        <v>42782.149999999994</v>
      </c>
      <c r="AB29" s="613">
        <f t="shared" ref="AB29:AB30" si="40">L29-AA29</f>
        <v>72177.090000000011</v>
      </c>
      <c r="AC29" s="615">
        <f t="shared" ref="AC29:AC36" si="41">AA29</f>
        <v>42782.149999999994</v>
      </c>
      <c r="AD29" s="615">
        <f t="shared" ref="AD29:AD36" si="42">DG29</f>
        <v>43801.406999999999</v>
      </c>
      <c r="AE29" s="615">
        <f t="shared" si="4"/>
        <v>86583.557000000001</v>
      </c>
      <c r="AF29" s="615">
        <f t="shared" si="5"/>
        <v>72177.090000000011</v>
      </c>
      <c r="AG29" s="615"/>
      <c r="AH29" s="615"/>
      <c r="AI29" s="615"/>
      <c r="AJ29" s="615"/>
      <c r="AK29" s="616">
        <v>0</v>
      </c>
      <c r="AL29" s="617">
        <v>36</v>
      </c>
      <c r="AM29" s="617" t="s">
        <v>1304</v>
      </c>
      <c r="AN29" s="617">
        <v>0</v>
      </c>
      <c r="AO29" s="617">
        <v>0</v>
      </c>
      <c r="AP29" s="617" t="s">
        <v>53</v>
      </c>
      <c r="AQ29" s="617" t="s">
        <v>53</v>
      </c>
      <c r="AR29" s="617" t="s">
        <v>53</v>
      </c>
      <c r="AS29" s="617" t="s">
        <v>54</v>
      </c>
      <c r="AT29" s="608" t="s">
        <v>70</v>
      </c>
      <c r="AU29" s="618"/>
      <c r="AV29" s="618"/>
      <c r="AW29" s="618"/>
      <c r="AX29" s="618"/>
      <c r="AY29" s="618"/>
      <c r="AZ29" s="618"/>
      <c r="BA29" s="618"/>
      <c r="BB29" s="619"/>
      <c r="BC29" s="618"/>
      <c r="BD29" s="618"/>
      <c r="BE29" s="618"/>
      <c r="BF29" s="618"/>
      <c r="BG29" s="620"/>
      <c r="BH29" s="618"/>
      <c r="BI29" s="618"/>
      <c r="BJ29" s="618"/>
      <c r="BK29" s="618"/>
      <c r="BL29" s="618"/>
      <c r="BM29" s="618"/>
      <c r="BN29" s="618"/>
      <c r="BO29" s="618"/>
      <c r="BP29" s="618"/>
      <c r="BQ29" s="618"/>
      <c r="BR29" s="618"/>
      <c r="BS29" s="618"/>
      <c r="BT29" s="618"/>
      <c r="BU29" s="618"/>
      <c r="BV29" s="618"/>
      <c r="BW29" s="618"/>
      <c r="BX29" s="618"/>
      <c r="BY29" s="618"/>
      <c r="BZ29" s="618"/>
      <c r="CA29" s="618"/>
      <c r="CB29" s="618"/>
      <c r="CC29" s="618"/>
      <c r="CD29" s="618"/>
      <c r="CE29" s="618"/>
      <c r="CF29" s="618">
        <v>3251.35</v>
      </c>
      <c r="CG29" s="621">
        <f t="shared" ref="CG29:CG30" si="43">SUM(BU29:CF29)</f>
        <v>3251.35</v>
      </c>
      <c r="CH29" s="622">
        <v>3251.35</v>
      </c>
      <c r="CI29" s="547">
        <v>3251.35</v>
      </c>
      <c r="CJ29" s="547">
        <v>3251.35</v>
      </c>
      <c r="CK29" s="547">
        <v>3251.35</v>
      </c>
      <c r="CL29" s="547">
        <v>3251.35</v>
      </c>
      <c r="CM29" s="547">
        <v>3251.35</v>
      </c>
      <c r="CN29" s="547">
        <v>3251.35</v>
      </c>
      <c r="CO29" s="547">
        <v>3251.35</v>
      </c>
      <c r="CP29" s="547">
        <v>3251.35</v>
      </c>
      <c r="CQ29" s="547">
        <v>3251.35</v>
      </c>
      <c r="CR29" s="547">
        <v>3508.65</v>
      </c>
      <c r="CS29" s="547">
        <v>3508.65</v>
      </c>
      <c r="CT29" s="623">
        <f t="shared" si="10"/>
        <v>39530.799999999996</v>
      </c>
      <c r="CU29" s="469"/>
      <c r="CV29" s="469">
        <v>3508.65</v>
      </c>
      <c r="CW29" s="469">
        <v>3508.65</v>
      </c>
      <c r="CX29" s="469">
        <v>3508.6499999999996</v>
      </c>
      <c r="CY29" s="469">
        <f>3974.0205</f>
        <v>3974.0205000000001</v>
      </c>
      <c r="CZ29" s="469">
        <v>3618.2104999999997</v>
      </c>
      <c r="DA29" s="469">
        <v>3508.6499999999996</v>
      </c>
      <c r="DB29" s="469">
        <v>3508.6499999999996</v>
      </c>
      <c r="DC29" s="469">
        <v>3508.6499999999996</v>
      </c>
      <c r="DD29" s="469">
        <v>3789.2499999999995</v>
      </c>
      <c r="DE29" s="469">
        <v>3789.3419999999996</v>
      </c>
      <c r="DF29" s="469">
        <f>3789.342+3789.342</f>
        <v>7578.6840000000002</v>
      </c>
      <c r="DG29" s="469">
        <f>SUM(CU29:DF29)</f>
        <v>43801.406999999999</v>
      </c>
      <c r="DH29" s="469"/>
      <c r="DI29" s="469"/>
      <c r="DJ29" s="469">
        <v>63740.480000000003</v>
      </c>
      <c r="DK29" s="469"/>
      <c r="DL29" s="469"/>
      <c r="DM29" s="469"/>
      <c r="DN29" s="469"/>
      <c r="DO29" s="469"/>
      <c r="DP29" s="469"/>
      <c r="DQ29" s="469"/>
      <c r="DR29" s="469"/>
      <c r="DS29" s="469"/>
      <c r="DT29" s="907">
        <f t="shared" si="6"/>
        <v>63740.480000000003</v>
      </c>
    </row>
    <row r="30" spans="1:124" s="624" customFormat="1" ht="48" x14ac:dyDescent="0.2">
      <c r="A30" s="469" t="s">
        <v>1350</v>
      </c>
      <c r="B30" s="469" t="s">
        <v>107</v>
      </c>
      <c r="C30" s="608" t="s">
        <v>1348</v>
      </c>
      <c r="D30" s="469" t="s">
        <v>1349</v>
      </c>
      <c r="F30" s="624" t="s">
        <v>1365</v>
      </c>
      <c r="G30" s="469" t="s">
        <v>49</v>
      </c>
      <c r="H30" s="469" t="s">
        <v>354</v>
      </c>
      <c r="I30" s="469" t="s">
        <v>384</v>
      </c>
      <c r="J30" s="977">
        <v>44732</v>
      </c>
      <c r="K30" s="977">
        <v>46558</v>
      </c>
      <c r="L30" s="978">
        <v>1582022</v>
      </c>
      <c r="M30" s="905"/>
      <c r="N30" s="965">
        <f t="shared" si="27"/>
        <v>0</v>
      </c>
      <c r="O30" s="965">
        <f t="shared" si="28"/>
        <v>0</v>
      </c>
      <c r="P30" s="966">
        <f t="shared" si="29"/>
        <v>1582022</v>
      </c>
      <c r="Q30" s="964">
        <f t="shared" si="30"/>
        <v>0</v>
      </c>
      <c r="R30" s="965">
        <f t="shared" si="31"/>
        <v>0</v>
      </c>
      <c r="S30" s="965">
        <f t="shared" si="32"/>
        <v>0</v>
      </c>
      <c r="T30" s="966">
        <f t="shared" si="33"/>
        <v>1582022</v>
      </c>
      <c r="U30" s="964">
        <f t="shared" si="34"/>
        <v>0</v>
      </c>
      <c r="V30" s="965">
        <f t="shared" si="35"/>
        <v>0</v>
      </c>
      <c r="W30" s="965">
        <f t="shared" si="36"/>
        <v>0</v>
      </c>
      <c r="X30" s="967">
        <f t="shared" si="37"/>
        <v>1582022</v>
      </c>
      <c r="Y30" s="611">
        <f t="shared" si="1"/>
        <v>0</v>
      </c>
      <c r="Z30" s="612">
        <f t="shared" si="38"/>
        <v>1018485.31</v>
      </c>
      <c r="AA30" s="612">
        <f t="shared" si="39"/>
        <v>1018485.31</v>
      </c>
      <c r="AB30" s="613">
        <f t="shared" si="40"/>
        <v>563536.68999999994</v>
      </c>
      <c r="AC30" s="615">
        <f t="shared" si="41"/>
        <v>1018485.31</v>
      </c>
      <c r="AD30" s="615">
        <f t="shared" si="42"/>
        <v>147370.31549999997</v>
      </c>
      <c r="AE30" s="615">
        <f t="shared" si="4"/>
        <v>1165855.6255000001</v>
      </c>
      <c r="AF30" s="615">
        <f t="shared" si="5"/>
        <v>563536.68999999994</v>
      </c>
      <c r="AG30" s="615"/>
      <c r="AH30" s="615"/>
      <c r="AI30" s="615"/>
      <c r="AJ30" s="615"/>
      <c r="AK30" s="679">
        <v>0</v>
      </c>
      <c r="AL30" s="617">
        <v>60</v>
      </c>
      <c r="AM30" s="617" t="s">
        <v>1304</v>
      </c>
      <c r="AN30" s="617">
        <v>0</v>
      </c>
      <c r="AO30" s="617">
        <v>0</v>
      </c>
      <c r="AP30" s="617" t="s">
        <v>53</v>
      </c>
      <c r="AQ30" s="617" t="s">
        <v>53</v>
      </c>
      <c r="AR30" s="617" t="s">
        <v>53</v>
      </c>
      <c r="AS30" s="617" t="s">
        <v>54</v>
      </c>
      <c r="AT30" s="911" t="s">
        <v>70</v>
      </c>
      <c r="AU30" s="618"/>
      <c r="AV30" s="618"/>
      <c r="AW30" s="618"/>
      <c r="AX30" s="618"/>
      <c r="AY30" s="618"/>
      <c r="AZ30" s="618"/>
      <c r="BA30" s="618"/>
      <c r="BB30" s="618"/>
      <c r="BC30" s="618"/>
      <c r="BD30" s="618"/>
      <c r="BE30" s="618"/>
      <c r="BF30" s="618"/>
      <c r="BG30" s="620"/>
      <c r="BH30" s="618"/>
      <c r="BI30" s="618"/>
      <c r="BJ30" s="618"/>
      <c r="BK30" s="618"/>
      <c r="BL30" s="618"/>
      <c r="BM30" s="618"/>
      <c r="BN30" s="618"/>
      <c r="BO30" s="618"/>
      <c r="BP30" s="618"/>
      <c r="BQ30" s="618"/>
      <c r="BR30" s="618"/>
      <c r="BS30" s="618"/>
      <c r="BT30" s="618"/>
      <c r="BU30" s="618"/>
      <c r="BV30" s="618"/>
      <c r="BW30" s="618"/>
      <c r="BX30" s="618"/>
      <c r="BY30" s="618"/>
      <c r="BZ30" s="618"/>
      <c r="CA30" s="618"/>
      <c r="CB30" s="618"/>
      <c r="CC30" s="618"/>
      <c r="CD30" s="618"/>
      <c r="CE30" s="618"/>
      <c r="CF30" s="618"/>
      <c r="CG30" s="621">
        <f t="shared" si="43"/>
        <v>0</v>
      </c>
      <c r="CH30" s="547">
        <v>298923</v>
      </c>
      <c r="CI30" s="547"/>
      <c r="CJ30" s="547">
        <f>30000+113974.52</f>
        <v>143974.52000000002</v>
      </c>
      <c r="CK30" s="547">
        <v>133974.51999999999</v>
      </c>
      <c r="CL30" s="547">
        <v>104574.51</v>
      </c>
      <c r="CM30" s="547">
        <v>114574.51</v>
      </c>
      <c r="CN30" s="547"/>
      <c r="CO30" s="547">
        <v>105878.24</v>
      </c>
      <c r="CP30" s="547">
        <v>116586.01</v>
      </c>
      <c r="CQ30" s="547"/>
      <c r="CR30" s="547"/>
      <c r="CS30" s="547"/>
      <c r="CT30" s="928">
        <f t="shared" si="10"/>
        <v>1018485.31</v>
      </c>
      <c r="CU30" s="469">
        <f>31287.6+33493.64+11023</f>
        <v>75804.239999999991</v>
      </c>
      <c r="CV30" s="469">
        <v>2793.9594999999999</v>
      </c>
      <c r="CW30" s="469">
        <v>0</v>
      </c>
      <c r="CX30" s="469"/>
      <c r="CY30" s="469">
        <v>28689.394999999997</v>
      </c>
      <c r="CZ30" s="469">
        <v>2793.9594999999999</v>
      </c>
      <c r="DA30" s="469">
        <v>2793.9594999999999</v>
      </c>
      <c r="DB30" s="469">
        <v>2793.9594999999999</v>
      </c>
      <c r="DC30" s="469">
        <v>2793.9594999999999</v>
      </c>
      <c r="DD30" s="469">
        <v>2793.9594999999999</v>
      </c>
      <c r="DE30" s="469">
        <v>2793.9594999999999</v>
      </c>
      <c r="DF30" s="469">
        <v>23318.964</v>
      </c>
      <c r="DG30" s="469">
        <f t="shared" ref="DG30:DG36" si="44">SUM(CU30:DF30)</f>
        <v>147370.31549999997</v>
      </c>
      <c r="DH30" s="469">
        <f>11647.38+3073.36</f>
        <v>14720.74</v>
      </c>
      <c r="DI30" s="469">
        <v>3073.36</v>
      </c>
      <c r="DJ30" s="469">
        <v>3073.36</v>
      </c>
      <c r="DK30" s="469">
        <v>3073.36</v>
      </c>
      <c r="DL30" s="469">
        <v>3072.8</v>
      </c>
      <c r="DM30" s="469">
        <f>13957.8+2185+2185</f>
        <v>18327.8</v>
      </c>
      <c r="DN30" s="469">
        <f>3072.8+3072.8</f>
        <v>6145.6</v>
      </c>
      <c r="DO30" s="469">
        <v>3072.8</v>
      </c>
      <c r="DP30" s="469">
        <v>3072.8</v>
      </c>
      <c r="DQ30" s="469">
        <v>3072.8</v>
      </c>
      <c r="DR30" s="469">
        <v>3072.8</v>
      </c>
      <c r="DS30" s="469">
        <v>16119.31</v>
      </c>
      <c r="DT30" s="907">
        <f t="shared" si="6"/>
        <v>79897.530000000013</v>
      </c>
    </row>
    <row r="31" spans="1:124" x14ac:dyDescent="0.2">
      <c r="C31" s="546" t="s">
        <v>1329</v>
      </c>
      <c r="J31" s="560"/>
      <c r="L31" s="562"/>
      <c r="AC31" s="362">
        <f t="shared" si="41"/>
        <v>0</v>
      </c>
      <c r="AD31" s="362">
        <f t="shared" si="42"/>
        <v>0</v>
      </c>
      <c r="AE31" s="362">
        <f t="shared" si="4"/>
        <v>0</v>
      </c>
      <c r="AF31" s="362">
        <f t="shared" si="5"/>
        <v>0</v>
      </c>
      <c r="AG31" s="651"/>
      <c r="AH31" s="651"/>
      <c r="AI31" s="651"/>
      <c r="AJ31" s="651"/>
      <c r="AU31" s="213"/>
      <c r="AV31" s="213"/>
      <c r="AW31" s="213"/>
      <c r="AX31" s="213"/>
      <c r="AY31" s="213"/>
      <c r="AZ31" s="213"/>
      <c r="BA31" s="213"/>
      <c r="BB31" s="213"/>
      <c r="BC31" s="213"/>
      <c r="BD31" s="213"/>
      <c r="BE31" s="213"/>
      <c r="BF31" s="213"/>
      <c r="BG31" s="214"/>
      <c r="BH31" s="213"/>
      <c r="BI31" s="213"/>
      <c r="BJ31" s="213"/>
      <c r="BK31" s="213"/>
      <c r="BL31" s="213"/>
      <c r="BM31" s="213"/>
      <c r="BN31" s="213"/>
      <c r="BO31" s="213"/>
      <c r="BP31" s="213"/>
      <c r="BQ31" s="213"/>
      <c r="BR31" s="213"/>
      <c r="BS31" s="213"/>
      <c r="BT31" s="213"/>
      <c r="BU31" s="213"/>
      <c r="BV31" s="213"/>
      <c r="BW31" s="213"/>
      <c r="BX31" s="213"/>
      <c r="BY31" s="213"/>
      <c r="BZ31" s="213"/>
      <c r="CA31" s="213"/>
      <c r="CB31" s="213"/>
      <c r="CC31" s="213"/>
      <c r="CD31" s="213"/>
      <c r="CE31" s="213"/>
      <c r="CF31" s="213"/>
      <c r="CG31" s="213"/>
      <c r="CH31" s="564"/>
      <c r="CI31" s="281"/>
      <c r="CU31" s="1"/>
      <c r="CV31" s="1"/>
      <c r="CW31" s="1"/>
      <c r="CX31" s="1"/>
      <c r="CY31" s="1"/>
      <c r="CZ31" s="1"/>
      <c r="DA31" s="1"/>
      <c r="DB31" s="1"/>
      <c r="DC31" s="1"/>
      <c r="DD31" s="1"/>
      <c r="DE31" s="1"/>
      <c r="DF31" s="1"/>
      <c r="DG31" s="1">
        <f t="shared" si="44"/>
        <v>0</v>
      </c>
      <c r="DH31" s="1"/>
      <c r="DI31" s="1"/>
      <c r="DJ31" s="1"/>
      <c r="DK31" s="1"/>
      <c r="DL31" s="1"/>
      <c r="DM31" s="1"/>
      <c r="DN31" s="1"/>
      <c r="DO31" s="1"/>
      <c r="DP31" s="1"/>
      <c r="DQ31" s="1"/>
      <c r="DR31" s="1"/>
      <c r="DS31" s="1"/>
      <c r="DT31" s="96">
        <f t="shared" si="6"/>
        <v>0</v>
      </c>
    </row>
    <row r="32" spans="1:124" s="624" customFormat="1" ht="48" x14ac:dyDescent="0.2">
      <c r="A32" s="469" t="s">
        <v>1396</v>
      </c>
      <c r="B32" s="469" t="s">
        <v>107</v>
      </c>
      <c r="C32" s="469" t="s">
        <v>377</v>
      </c>
      <c r="D32" s="469" t="s">
        <v>378</v>
      </c>
      <c r="E32" s="469"/>
      <c r="F32" s="469" t="s">
        <v>379</v>
      </c>
      <c r="G32" s="469" t="s">
        <v>49</v>
      </c>
      <c r="H32" s="608" t="s">
        <v>328</v>
      </c>
      <c r="I32" s="608" t="s">
        <v>316</v>
      </c>
      <c r="J32" s="910">
        <v>44902</v>
      </c>
      <c r="K32" s="910">
        <v>45998</v>
      </c>
      <c r="L32" s="670">
        <v>1521138.72</v>
      </c>
      <c r="M32" s="905"/>
      <c r="N32" s="905">
        <f t="shared" ref="N32:N36" si="45">BG32</f>
        <v>0</v>
      </c>
      <c r="O32" s="905">
        <f t="shared" ref="O32:O36" si="46">M32+N32</f>
        <v>0</v>
      </c>
      <c r="P32" s="905">
        <f t="shared" ref="P32:P36" si="47">L32-O32</f>
        <v>1521138.72</v>
      </c>
      <c r="Q32" s="905">
        <f t="shared" ref="Q32:Q36" si="48">O32</f>
        <v>0</v>
      </c>
      <c r="R32" s="905">
        <f>BT30</f>
        <v>0</v>
      </c>
      <c r="S32" s="905">
        <f t="shared" ref="S32:S36" si="49">Q32+R32</f>
        <v>0</v>
      </c>
      <c r="T32" s="905">
        <f t="shared" ref="T32:T36" si="50">L32-S32</f>
        <v>1521138.72</v>
      </c>
      <c r="U32" s="905">
        <f t="shared" ref="U32:U36" si="51">S32</f>
        <v>0</v>
      </c>
      <c r="V32" s="905">
        <f t="shared" ref="V32:V36" si="52">CG32</f>
        <v>0</v>
      </c>
      <c r="W32" s="905">
        <f t="shared" ref="W32:W36" si="53">U32+V32</f>
        <v>0</v>
      </c>
      <c r="X32" s="905">
        <f t="shared" ref="X32:X36" si="54">L32-W32</f>
        <v>1521138.72</v>
      </c>
      <c r="Y32" s="905">
        <f t="shared" ref="Y32:Y36" si="55">W32</f>
        <v>0</v>
      </c>
      <c r="Z32" s="905">
        <f t="shared" ref="Z32:Z36" si="56">CT32</f>
        <v>2320949.7999999998</v>
      </c>
      <c r="AA32" s="905">
        <f t="shared" ref="AA32:AA36" si="57">Y32+Z32</f>
        <v>2320949.7999999998</v>
      </c>
      <c r="AB32" s="905">
        <f t="shared" ref="AB32:AB36" si="58">L32-AA32</f>
        <v>-799811.07999999984</v>
      </c>
      <c r="AC32" s="615">
        <f t="shared" si="41"/>
        <v>2320949.7999999998</v>
      </c>
      <c r="AD32" s="615">
        <f t="shared" si="42"/>
        <v>2397730.11</v>
      </c>
      <c r="AE32" s="615">
        <f t="shared" si="4"/>
        <v>4718679.91</v>
      </c>
      <c r="AF32" s="615">
        <f t="shared" si="5"/>
        <v>-799811.07999999984</v>
      </c>
      <c r="AG32" s="615"/>
      <c r="AH32" s="615"/>
      <c r="AI32" s="615"/>
      <c r="AJ32" s="615"/>
      <c r="AK32" s="679">
        <v>0</v>
      </c>
      <c r="AL32" s="617">
        <v>36</v>
      </c>
      <c r="AM32" s="617" t="s">
        <v>1304</v>
      </c>
      <c r="AN32" s="617">
        <v>0</v>
      </c>
      <c r="AO32" s="617">
        <v>0</v>
      </c>
      <c r="AP32" s="617" t="s">
        <v>53</v>
      </c>
      <c r="AQ32" s="617" t="s">
        <v>53</v>
      </c>
      <c r="AR32" s="617" t="s">
        <v>53</v>
      </c>
      <c r="AS32" s="617" t="s">
        <v>54</v>
      </c>
      <c r="AT32" s="911" t="s">
        <v>70</v>
      </c>
      <c r="AU32" s="618"/>
      <c r="AV32" s="618"/>
      <c r="AW32" s="618"/>
      <c r="AX32" s="618"/>
      <c r="AY32" s="618"/>
      <c r="AZ32" s="618"/>
      <c r="BA32" s="618"/>
      <c r="BB32" s="618"/>
      <c r="BC32" s="618"/>
      <c r="BD32" s="618"/>
      <c r="BE32" s="618"/>
      <c r="BF32" s="618"/>
      <c r="BG32" s="620"/>
      <c r="BH32" s="618"/>
      <c r="BI32" s="618"/>
      <c r="BJ32" s="618"/>
      <c r="BK32" s="618"/>
      <c r="BL32" s="618"/>
      <c r="BM32" s="618"/>
      <c r="BN32" s="618"/>
      <c r="BO32" s="618"/>
      <c r="BP32" s="618"/>
      <c r="BQ32" s="618"/>
      <c r="BR32" s="618"/>
      <c r="BS32" s="618"/>
      <c r="BT32" s="618"/>
      <c r="BU32" s="618"/>
      <c r="BV32" s="618"/>
      <c r="BW32" s="618"/>
      <c r="BX32" s="618"/>
      <c r="BY32" s="618"/>
      <c r="BZ32" s="618"/>
      <c r="CA32" s="618"/>
      <c r="CB32" s="618"/>
      <c r="CC32" s="618"/>
      <c r="CD32" s="618"/>
      <c r="CE32" s="618"/>
      <c r="CF32" s="618"/>
      <c r="CG32" s="618"/>
      <c r="CH32" s="469"/>
      <c r="CI32" s="547"/>
      <c r="CJ32" s="469"/>
      <c r="CK32" s="469"/>
      <c r="CL32" s="469"/>
      <c r="CM32" s="469"/>
      <c r="CN32" s="469"/>
      <c r="CO32" s="469"/>
      <c r="CP32" s="469"/>
      <c r="CQ32" s="469"/>
      <c r="CR32" s="469">
        <v>2320949.7999999998</v>
      </c>
      <c r="CS32" s="469"/>
      <c r="CT32" s="661">
        <f t="shared" ref="CT32:CT35" si="59">SUM(CH32:CS32)</f>
        <v>2320949.7999999998</v>
      </c>
      <c r="CU32" s="469"/>
      <c r="CV32" s="469"/>
      <c r="CW32" s="469">
        <v>38577.01</v>
      </c>
      <c r="CX32" s="469">
        <v>2350234.73</v>
      </c>
      <c r="CY32" s="469">
        <v>0</v>
      </c>
      <c r="CZ32" s="469">
        <v>8918.3700000000008</v>
      </c>
      <c r="DA32" s="469"/>
      <c r="DB32" s="469"/>
      <c r="DC32" s="469"/>
      <c r="DD32" s="469"/>
      <c r="DE32" s="469"/>
      <c r="DF32" s="469"/>
      <c r="DG32" s="469">
        <f>SUM(CU32:DF32)</f>
        <v>2397730.11</v>
      </c>
      <c r="DH32" s="469"/>
      <c r="DI32" s="469"/>
      <c r="DJ32" s="469">
        <v>2443461.36</v>
      </c>
      <c r="DK32" s="469"/>
      <c r="DL32" s="469"/>
      <c r="DM32" s="469"/>
      <c r="DN32" s="469"/>
      <c r="DO32" s="469"/>
      <c r="DP32" s="469"/>
      <c r="DQ32" s="469"/>
      <c r="DR32" s="469"/>
      <c r="DS32" s="469"/>
      <c r="DT32" s="907">
        <f t="shared" si="6"/>
        <v>2443461.36</v>
      </c>
    </row>
    <row r="33" spans="1:125" s="624" customFormat="1" ht="48" x14ac:dyDescent="0.2">
      <c r="A33" s="469" t="s">
        <v>1429</v>
      </c>
      <c r="B33" s="469" t="s">
        <v>107</v>
      </c>
      <c r="C33" s="469" t="s">
        <v>1404</v>
      </c>
      <c r="D33" s="469" t="s">
        <v>403</v>
      </c>
      <c r="E33" s="469"/>
      <c r="F33" s="469" t="s">
        <v>1430</v>
      </c>
      <c r="G33" s="469" t="s">
        <v>49</v>
      </c>
      <c r="H33" s="608" t="s">
        <v>328</v>
      </c>
      <c r="I33" s="608" t="s">
        <v>316</v>
      </c>
      <c r="J33" s="910">
        <v>44980</v>
      </c>
      <c r="K33" s="910">
        <v>46076</v>
      </c>
      <c r="L33" s="670">
        <v>1088751.98</v>
      </c>
      <c r="M33" s="905"/>
      <c r="N33" s="905">
        <f t="shared" si="45"/>
        <v>0</v>
      </c>
      <c r="O33" s="905">
        <f t="shared" si="46"/>
        <v>0</v>
      </c>
      <c r="P33" s="905">
        <f t="shared" si="47"/>
        <v>1088751.98</v>
      </c>
      <c r="Q33" s="905">
        <f t="shared" si="48"/>
        <v>0</v>
      </c>
      <c r="R33" s="905">
        <f>BT32</f>
        <v>0</v>
      </c>
      <c r="S33" s="905">
        <f t="shared" si="49"/>
        <v>0</v>
      </c>
      <c r="T33" s="905">
        <f t="shared" si="50"/>
        <v>1088751.98</v>
      </c>
      <c r="U33" s="905">
        <f t="shared" si="51"/>
        <v>0</v>
      </c>
      <c r="V33" s="905">
        <f t="shared" si="52"/>
        <v>0</v>
      </c>
      <c r="W33" s="905">
        <f t="shared" si="53"/>
        <v>0</v>
      </c>
      <c r="X33" s="905">
        <f t="shared" si="54"/>
        <v>1088751.98</v>
      </c>
      <c r="Y33" s="905">
        <f t="shared" si="55"/>
        <v>0</v>
      </c>
      <c r="Z33" s="905">
        <f t="shared" si="56"/>
        <v>484007.72000000003</v>
      </c>
      <c r="AA33" s="905">
        <f t="shared" si="57"/>
        <v>484007.72000000003</v>
      </c>
      <c r="AB33" s="905">
        <f t="shared" si="58"/>
        <v>604744.26</v>
      </c>
      <c r="AC33" s="615">
        <f t="shared" si="41"/>
        <v>484007.72000000003</v>
      </c>
      <c r="AD33" s="615">
        <f t="shared" si="42"/>
        <v>329558.23749999993</v>
      </c>
      <c r="AE33" s="615">
        <f t="shared" si="4"/>
        <v>813565.95750000002</v>
      </c>
      <c r="AF33" s="615">
        <f t="shared" si="5"/>
        <v>604744.26</v>
      </c>
      <c r="AG33" s="615"/>
      <c r="AH33" s="615"/>
      <c r="AI33" s="615"/>
      <c r="AJ33" s="615"/>
      <c r="AK33" s="679">
        <v>0</v>
      </c>
      <c r="AL33" s="617">
        <v>36</v>
      </c>
      <c r="AM33" s="617" t="s">
        <v>1304</v>
      </c>
      <c r="AN33" s="617">
        <v>0</v>
      </c>
      <c r="AO33" s="617">
        <v>0</v>
      </c>
      <c r="AP33" s="617" t="s">
        <v>53</v>
      </c>
      <c r="AQ33" s="617" t="s">
        <v>53</v>
      </c>
      <c r="AR33" s="617" t="s">
        <v>53</v>
      </c>
      <c r="AS33" s="617" t="s">
        <v>54</v>
      </c>
      <c r="AT33" s="911" t="s">
        <v>70</v>
      </c>
      <c r="AU33" s="618"/>
      <c r="AV33" s="618"/>
      <c r="AW33" s="618"/>
      <c r="AX33" s="618"/>
      <c r="AY33" s="618"/>
      <c r="AZ33" s="618"/>
      <c r="BA33" s="618"/>
      <c r="BB33" s="618"/>
      <c r="BC33" s="618"/>
      <c r="BD33" s="618"/>
      <c r="BE33" s="618"/>
      <c r="BF33" s="618"/>
      <c r="BG33" s="620"/>
      <c r="BH33" s="618"/>
      <c r="BI33" s="618"/>
      <c r="BJ33" s="618"/>
      <c r="BK33" s="618"/>
      <c r="BL33" s="618"/>
      <c r="BM33" s="618"/>
      <c r="BN33" s="618"/>
      <c r="BO33" s="618"/>
      <c r="BP33" s="618"/>
      <c r="BQ33" s="618"/>
      <c r="BR33" s="618"/>
      <c r="BS33" s="618"/>
      <c r="BT33" s="618"/>
      <c r="BU33" s="618"/>
      <c r="BV33" s="618"/>
      <c r="BW33" s="618"/>
      <c r="BX33" s="618"/>
      <c r="BY33" s="618"/>
      <c r="BZ33" s="618"/>
      <c r="CA33" s="618"/>
      <c r="CB33" s="618"/>
      <c r="CC33" s="618"/>
      <c r="CD33" s="618"/>
      <c r="CE33" s="618"/>
      <c r="CF33" s="618"/>
      <c r="CG33" s="618"/>
      <c r="CH33" s="469">
        <f>37461.43+37896.67</f>
        <v>75358.100000000006</v>
      </c>
      <c r="CI33" s="547">
        <v>37896.67</v>
      </c>
      <c r="CJ33" s="469"/>
      <c r="CK33" s="469"/>
      <c r="CL33" s="469">
        <f>41194.76+41194.76</f>
        <v>82389.52</v>
      </c>
      <c r="CM33" s="469"/>
      <c r="CN33" s="469">
        <f>41194.76+41194.78</f>
        <v>82389.540000000008</v>
      </c>
      <c r="CO33" s="469">
        <v>41194.769999999997</v>
      </c>
      <c r="CP33" s="469"/>
      <c r="CQ33" s="469"/>
      <c r="CR33" s="469">
        <f>41194.78+41194.78+41194.78+41194.78</f>
        <v>164779.12</v>
      </c>
      <c r="CT33" s="661">
        <f t="shared" si="59"/>
        <v>484007.72000000003</v>
      </c>
      <c r="CU33" s="469"/>
      <c r="CV33" s="469"/>
      <c r="CW33" s="469"/>
      <c r="CX33" s="469"/>
      <c r="CY33" s="469"/>
      <c r="CZ33" s="469">
        <f>41194.77</f>
        <v>41194.769999999997</v>
      </c>
      <c r="DA33" s="469">
        <v>41194.782500000001</v>
      </c>
      <c r="DC33" s="912">
        <f>41194.78+41194.78</f>
        <v>82389.56</v>
      </c>
      <c r="DD33" s="912">
        <f>41194.78+41194.78</f>
        <v>82389.56</v>
      </c>
      <c r="DE33" s="624">
        <v>41194.782500000001</v>
      </c>
      <c r="DF33" s="469">
        <v>41194.782500000001</v>
      </c>
      <c r="DG33" s="469">
        <f>SUM(CU33:DF33)</f>
        <v>329558.23749999993</v>
      </c>
      <c r="DH33" s="469">
        <v>41194.78</v>
      </c>
      <c r="DJ33" s="469">
        <v>43831.65</v>
      </c>
      <c r="DK33" s="469">
        <v>43831.65</v>
      </c>
      <c r="DL33" s="469">
        <v>43831.65</v>
      </c>
      <c r="DM33" s="469">
        <v>43831.65</v>
      </c>
      <c r="DN33" s="469">
        <v>43831.652000000002</v>
      </c>
      <c r="DO33" s="469">
        <v>43831.65</v>
      </c>
      <c r="DP33" s="469">
        <v>43831.652000000002</v>
      </c>
      <c r="DQ33" s="469">
        <v>43831.652000000002</v>
      </c>
      <c r="DR33" s="469"/>
      <c r="DS33" s="469">
        <v>43831.652000000002</v>
      </c>
      <c r="DT33" s="907">
        <f>SUM(DH33:DS33)</f>
        <v>435679.63799999998</v>
      </c>
    </row>
    <row r="34" spans="1:125" s="469" customFormat="1" ht="48" x14ac:dyDescent="0.2">
      <c r="A34" s="664" t="s">
        <v>1431</v>
      </c>
      <c r="B34" s="664" t="s">
        <v>107</v>
      </c>
      <c r="C34" s="664" t="s">
        <v>1432</v>
      </c>
      <c r="D34" s="664" t="s">
        <v>1433</v>
      </c>
      <c r="E34" s="664"/>
      <c r="F34" s="664" t="s">
        <v>388</v>
      </c>
      <c r="G34" s="664" t="s">
        <v>49</v>
      </c>
      <c r="H34" s="745" t="s">
        <v>328</v>
      </c>
      <c r="I34" s="745" t="s">
        <v>316</v>
      </c>
      <c r="J34" s="706">
        <v>45106</v>
      </c>
      <c r="K34" s="706">
        <v>46202</v>
      </c>
      <c r="L34" s="666">
        <v>295201.87</v>
      </c>
      <c r="M34" s="908"/>
      <c r="N34" s="908">
        <f t="shared" si="45"/>
        <v>0</v>
      </c>
      <c r="O34" s="908">
        <f t="shared" si="46"/>
        <v>0</v>
      </c>
      <c r="P34" s="908">
        <f t="shared" si="47"/>
        <v>295201.87</v>
      </c>
      <c r="Q34" s="908">
        <f t="shared" si="48"/>
        <v>0</v>
      </c>
      <c r="R34" s="908">
        <f>BT33</f>
        <v>0</v>
      </c>
      <c r="S34" s="908">
        <f t="shared" si="49"/>
        <v>0</v>
      </c>
      <c r="T34" s="908">
        <f t="shared" si="50"/>
        <v>295201.87</v>
      </c>
      <c r="U34" s="908">
        <f t="shared" si="51"/>
        <v>0</v>
      </c>
      <c r="V34" s="908">
        <f t="shared" si="52"/>
        <v>0</v>
      </c>
      <c r="W34" s="908">
        <f t="shared" si="53"/>
        <v>0</v>
      </c>
      <c r="X34" s="908">
        <f t="shared" si="54"/>
        <v>295201.87</v>
      </c>
      <c r="Y34" s="908">
        <f t="shared" si="55"/>
        <v>0</v>
      </c>
      <c r="Z34" s="908">
        <f t="shared" si="56"/>
        <v>0</v>
      </c>
      <c r="AA34" s="908">
        <f t="shared" si="57"/>
        <v>0</v>
      </c>
      <c r="AB34" s="908">
        <f t="shared" si="58"/>
        <v>295201.87</v>
      </c>
      <c r="AC34" s="709">
        <f t="shared" si="41"/>
        <v>0</v>
      </c>
      <c r="AD34" s="709">
        <f t="shared" si="42"/>
        <v>100868.79000000001</v>
      </c>
      <c r="AE34" s="709">
        <f t="shared" si="4"/>
        <v>100868.79000000001</v>
      </c>
      <c r="AF34" s="709">
        <f t="shared" si="5"/>
        <v>295201.87</v>
      </c>
      <c r="AG34" s="709"/>
      <c r="AH34" s="709"/>
      <c r="AI34" s="709"/>
      <c r="AJ34" s="709"/>
      <c r="AK34" s="711">
        <v>0</v>
      </c>
      <c r="AL34" s="637">
        <v>36</v>
      </c>
      <c r="AM34" s="637" t="s">
        <v>1304</v>
      </c>
      <c r="AN34" s="637">
        <v>0</v>
      </c>
      <c r="AO34" s="637">
        <v>0</v>
      </c>
      <c r="AP34" s="637" t="s">
        <v>53</v>
      </c>
      <c r="AQ34" s="637" t="s">
        <v>53</v>
      </c>
      <c r="AR34" s="637" t="s">
        <v>53</v>
      </c>
      <c r="AS34" s="637" t="s">
        <v>54</v>
      </c>
      <c r="AT34" s="745" t="s">
        <v>70</v>
      </c>
      <c r="AU34" s="667"/>
      <c r="AV34" s="667"/>
      <c r="AW34" s="667"/>
      <c r="AX34" s="667"/>
      <c r="AY34" s="667"/>
      <c r="AZ34" s="667"/>
      <c r="BA34" s="667"/>
      <c r="BB34" s="667"/>
      <c r="BC34" s="667"/>
      <c r="BD34" s="667"/>
      <c r="BE34" s="667"/>
      <c r="BF34" s="667"/>
      <c r="BG34" s="749"/>
      <c r="BH34" s="667"/>
      <c r="BI34" s="667"/>
      <c r="BJ34" s="667"/>
      <c r="BK34" s="667"/>
      <c r="BL34" s="667"/>
      <c r="BM34" s="667"/>
      <c r="BN34" s="667"/>
      <c r="BO34" s="667"/>
      <c r="BP34" s="667"/>
      <c r="BQ34" s="667"/>
      <c r="BR34" s="667"/>
      <c r="BS34" s="667"/>
      <c r="BT34" s="667"/>
      <c r="BU34" s="667"/>
      <c r="BV34" s="667"/>
      <c r="BW34" s="667"/>
      <c r="BX34" s="667"/>
      <c r="BY34" s="667"/>
      <c r="BZ34" s="667"/>
      <c r="CA34" s="667"/>
      <c r="CB34" s="667"/>
      <c r="CC34" s="667"/>
      <c r="CD34" s="667"/>
      <c r="CE34" s="667"/>
      <c r="CF34" s="667"/>
      <c r="CG34" s="667"/>
      <c r="CH34" s="664"/>
      <c r="CI34" s="401"/>
      <c r="CJ34" s="664"/>
      <c r="CK34" s="664"/>
      <c r="CL34" s="664"/>
      <c r="CM34" s="664"/>
      <c r="CN34" s="664"/>
      <c r="CO34" s="664"/>
      <c r="CP34" s="664"/>
      <c r="CQ34" s="664"/>
      <c r="CR34" s="664"/>
      <c r="CS34" s="664"/>
      <c r="CT34" s="664">
        <f t="shared" si="59"/>
        <v>0</v>
      </c>
      <c r="CU34" s="974">
        <v>16901.919999999998</v>
      </c>
      <c r="CV34" s="664">
        <v>16901.919999999998</v>
      </c>
      <c r="CW34" s="664">
        <v>1903.6</v>
      </c>
      <c r="CX34" s="664">
        <v>11275.11</v>
      </c>
      <c r="CY34" s="664">
        <v>6589.35</v>
      </c>
      <c r="CZ34" s="664">
        <v>6589.35</v>
      </c>
      <c r="DA34" s="664">
        <v>6589.35</v>
      </c>
      <c r="DB34" s="664">
        <v>6589.35</v>
      </c>
      <c r="DC34" s="664">
        <f>6589.35+6589.35</f>
        <v>13178.7</v>
      </c>
      <c r="DD34" s="664"/>
      <c r="DE34" s="974">
        <v>7175.07</v>
      </c>
      <c r="DF34" s="974">
        <v>7175.07</v>
      </c>
      <c r="DG34" s="664">
        <f t="shared" si="44"/>
        <v>100868.79000000001</v>
      </c>
      <c r="DH34" s="469">
        <v>7175.05</v>
      </c>
      <c r="DI34" s="469">
        <f>146.43+7028.64</f>
        <v>7175.0700000000006</v>
      </c>
      <c r="DJ34" s="469">
        <v>7175.07</v>
      </c>
      <c r="DK34" s="469">
        <v>7175.07</v>
      </c>
      <c r="DL34" s="469">
        <v>7175.07</v>
      </c>
      <c r="DM34" s="469">
        <v>7175.07</v>
      </c>
      <c r="DO34" s="469">
        <f>7321.5+7321.5+7321.5</f>
        <v>21964.5</v>
      </c>
      <c r="DQ34" s="469">
        <f>7467.93+7467.93</f>
        <v>14935.86</v>
      </c>
      <c r="DR34" s="469">
        <v>7467.93</v>
      </c>
      <c r="DT34" s="907">
        <f t="shared" si="6"/>
        <v>87418.69</v>
      </c>
      <c r="DU34" s="975"/>
    </row>
    <row r="35" spans="1:125" s="624" customFormat="1" ht="48" x14ac:dyDescent="0.2">
      <c r="A35" s="979" t="s">
        <v>1434</v>
      </c>
      <c r="B35" s="980" t="s">
        <v>107</v>
      </c>
      <c r="C35" s="980" t="s">
        <v>1439</v>
      </c>
      <c r="D35" s="980" t="s">
        <v>1435</v>
      </c>
      <c r="E35" s="980"/>
      <c r="F35" s="980" t="s">
        <v>1442</v>
      </c>
      <c r="G35" s="980" t="s">
        <v>49</v>
      </c>
      <c r="H35" s="981" t="s">
        <v>328</v>
      </c>
      <c r="I35" s="981" t="s">
        <v>316</v>
      </c>
      <c r="J35" s="702">
        <v>45033</v>
      </c>
      <c r="K35" s="702">
        <v>46129</v>
      </c>
      <c r="L35" s="982">
        <v>430300</v>
      </c>
      <c r="M35" s="983"/>
      <c r="N35" s="983">
        <f t="shared" si="45"/>
        <v>0</v>
      </c>
      <c r="O35" s="983">
        <f t="shared" si="46"/>
        <v>0</v>
      </c>
      <c r="P35" s="983">
        <f t="shared" si="47"/>
        <v>430300</v>
      </c>
      <c r="Q35" s="983">
        <f t="shared" si="48"/>
        <v>0</v>
      </c>
      <c r="R35" s="984">
        <f>BT34</f>
        <v>0</v>
      </c>
      <c r="S35" s="983">
        <f t="shared" si="49"/>
        <v>0</v>
      </c>
      <c r="T35" s="983">
        <f t="shared" si="50"/>
        <v>430300</v>
      </c>
      <c r="U35" s="983">
        <f t="shared" si="51"/>
        <v>0</v>
      </c>
      <c r="V35" s="983">
        <f t="shared" si="52"/>
        <v>0</v>
      </c>
      <c r="W35" s="983">
        <f t="shared" si="53"/>
        <v>0</v>
      </c>
      <c r="X35" s="983">
        <f t="shared" si="54"/>
        <v>430300</v>
      </c>
      <c r="Y35" s="983">
        <f t="shared" si="55"/>
        <v>0</v>
      </c>
      <c r="Z35" s="983">
        <f t="shared" si="56"/>
        <v>0</v>
      </c>
      <c r="AA35" s="983">
        <f t="shared" si="57"/>
        <v>0</v>
      </c>
      <c r="AB35" s="983">
        <f t="shared" si="58"/>
        <v>430300</v>
      </c>
      <c r="AC35" s="985">
        <f t="shared" si="41"/>
        <v>0</v>
      </c>
      <c r="AD35" s="985">
        <f t="shared" si="42"/>
        <v>149527.79999999999</v>
      </c>
      <c r="AE35" s="985">
        <f t="shared" si="4"/>
        <v>149527.79999999999</v>
      </c>
      <c r="AF35" s="985">
        <f t="shared" si="5"/>
        <v>430300</v>
      </c>
      <c r="AG35" s="985"/>
      <c r="AH35" s="985"/>
      <c r="AI35" s="985"/>
      <c r="AJ35" s="985"/>
      <c r="AK35" s="986">
        <v>0</v>
      </c>
      <c r="AL35" s="700">
        <v>36</v>
      </c>
      <c r="AM35" s="700" t="s">
        <v>1304</v>
      </c>
      <c r="AN35" s="700">
        <v>0</v>
      </c>
      <c r="AO35" s="700">
        <v>0</v>
      </c>
      <c r="AP35" s="700" t="s">
        <v>53</v>
      </c>
      <c r="AQ35" s="700" t="s">
        <v>53</v>
      </c>
      <c r="AR35" s="700" t="s">
        <v>53</v>
      </c>
      <c r="AS35" s="700" t="s">
        <v>54</v>
      </c>
      <c r="AT35" s="981" t="s">
        <v>70</v>
      </c>
      <c r="AU35" s="987"/>
      <c r="AV35" s="987"/>
      <c r="AW35" s="987"/>
      <c r="AX35" s="987"/>
      <c r="AY35" s="987"/>
      <c r="AZ35" s="987"/>
      <c r="BA35" s="987"/>
      <c r="BB35" s="987"/>
      <c r="BC35" s="987"/>
      <c r="BD35" s="987"/>
      <c r="BE35" s="987"/>
      <c r="BF35" s="987"/>
      <c r="BG35" s="988"/>
      <c r="BH35" s="987"/>
      <c r="BI35" s="987"/>
      <c r="BJ35" s="987"/>
      <c r="BK35" s="987"/>
      <c r="BL35" s="987"/>
      <c r="BM35" s="987"/>
      <c r="BN35" s="987"/>
      <c r="BO35" s="987"/>
      <c r="BP35" s="987"/>
      <c r="BQ35" s="987"/>
      <c r="BR35" s="987"/>
      <c r="BS35" s="987"/>
      <c r="BT35" s="987"/>
      <c r="BU35" s="987"/>
      <c r="BV35" s="987"/>
      <c r="BW35" s="987"/>
      <c r="BX35" s="987"/>
      <c r="BY35" s="987"/>
      <c r="BZ35" s="987"/>
      <c r="CA35" s="987"/>
      <c r="CB35" s="987"/>
      <c r="CC35" s="987"/>
      <c r="CD35" s="987"/>
      <c r="CE35" s="987"/>
      <c r="CF35" s="987"/>
      <c r="CG35" s="987"/>
      <c r="CH35" s="980"/>
      <c r="CI35" s="989"/>
      <c r="CJ35" s="980"/>
      <c r="CK35" s="980"/>
      <c r="CL35" s="980"/>
      <c r="CM35" s="980"/>
      <c r="CN35" s="980"/>
      <c r="CO35" s="980"/>
      <c r="CP35" s="980"/>
      <c r="CQ35" s="980"/>
      <c r="CR35" s="980"/>
      <c r="CS35" s="980"/>
      <c r="CT35" s="990">
        <f t="shared" si="59"/>
        <v>0</v>
      </c>
      <c r="CU35" s="980"/>
      <c r="CV35" s="980">
        <f>41952.78+11952.78</f>
        <v>53905.56</v>
      </c>
      <c r="CW35" s="980">
        <v>11952.78</v>
      </c>
      <c r="CX35" s="980">
        <v>11952.78</v>
      </c>
      <c r="CY35" s="980">
        <v>11952.78</v>
      </c>
      <c r="CZ35" s="980"/>
      <c r="DA35" s="980">
        <f>11952.78+11952.78</f>
        <v>23905.56</v>
      </c>
      <c r="DB35" s="980"/>
      <c r="DC35" s="980">
        <v>11952.78</v>
      </c>
      <c r="DD35" s="980"/>
      <c r="DE35" s="980">
        <f>11952.78+11952.78</f>
        <v>23905.56</v>
      </c>
      <c r="DF35" s="980"/>
      <c r="DG35" s="980">
        <f t="shared" si="44"/>
        <v>149527.79999999999</v>
      </c>
      <c r="DH35" s="673">
        <v>27952.78</v>
      </c>
      <c r="DI35" s="673">
        <v>11952.78</v>
      </c>
      <c r="DJ35" s="673">
        <v>11952.78</v>
      </c>
      <c r="DK35" s="673">
        <v>11952.78</v>
      </c>
      <c r="DL35" s="673">
        <v>11952.78</v>
      </c>
      <c r="DM35" s="673"/>
      <c r="DN35" s="673">
        <v>11952.78</v>
      </c>
      <c r="DO35" s="673">
        <f>11952.78+11952.78</f>
        <v>23905.56</v>
      </c>
      <c r="DP35" s="673"/>
      <c r="DQ35" s="673">
        <v>11952.78</v>
      </c>
      <c r="DR35" s="673">
        <v>11952.78</v>
      </c>
      <c r="DS35" s="673">
        <f>11952.78+11952.78</f>
        <v>23905.56</v>
      </c>
      <c r="DT35" s="907">
        <f t="shared" si="6"/>
        <v>159433.35999999999</v>
      </c>
    </row>
    <row r="36" spans="1:125" s="624" customFormat="1" x14ac:dyDescent="0.2">
      <c r="A36" s="664" t="s">
        <v>2045</v>
      </c>
      <c r="B36" s="664" t="s">
        <v>107</v>
      </c>
      <c r="C36" s="664" t="s">
        <v>1979</v>
      </c>
      <c r="D36" s="664" t="s">
        <v>1902</v>
      </c>
      <c r="E36" s="748"/>
      <c r="F36" s="664"/>
      <c r="G36" s="664"/>
      <c r="H36" s="664"/>
      <c r="I36" s="664"/>
      <c r="J36" s="637"/>
      <c r="K36" s="637"/>
      <c r="L36" s="666"/>
      <c r="M36" s="908"/>
      <c r="N36" s="908">
        <f t="shared" si="45"/>
        <v>0</v>
      </c>
      <c r="O36" s="908">
        <f t="shared" si="46"/>
        <v>0</v>
      </c>
      <c r="P36" s="908">
        <f t="shared" si="47"/>
        <v>0</v>
      </c>
      <c r="Q36" s="908">
        <f t="shared" si="48"/>
        <v>0</v>
      </c>
      <c r="R36" s="908" t="e">
        <f>#REF!</f>
        <v>#REF!</v>
      </c>
      <c r="S36" s="908" t="e">
        <f t="shared" si="49"/>
        <v>#REF!</v>
      </c>
      <c r="T36" s="908" t="e">
        <f t="shared" si="50"/>
        <v>#REF!</v>
      </c>
      <c r="U36" s="908" t="e">
        <f t="shared" si="51"/>
        <v>#REF!</v>
      </c>
      <c r="V36" s="908">
        <f t="shared" si="52"/>
        <v>0</v>
      </c>
      <c r="W36" s="908" t="e">
        <f t="shared" si="53"/>
        <v>#REF!</v>
      </c>
      <c r="X36" s="908" t="e">
        <f t="shared" si="54"/>
        <v>#REF!</v>
      </c>
      <c r="Y36" s="908" t="e">
        <f t="shared" si="55"/>
        <v>#REF!</v>
      </c>
      <c r="Z36" s="908">
        <f t="shared" si="56"/>
        <v>0</v>
      </c>
      <c r="AA36" s="908" t="e">
        <f t="shared" si="57"/>
        <v>#REF!</v>
      </c>
      <c r="AB36" s="908" t="e">
        <f t="shared" si="58"/>
        <v>#REF!</v>
      </c>
      <c r="AC36" s="709" t="e">
        <f t="shared" si="41"/>
        <v>#REF!</v>
      </c>
      <c r="AD36" s="709">
        <f t="shared" si="42"/>
        <v>0</v>
      </c>
      <c r="AE36" s="709" t="e">
        <f t="shared" si="4"/>
        <v>#REF!</v>
      </c>
      <c r="AF36" s="908"/>
      <c r="AG36" s="908"/>
      <c r="AH36" s="908"/>
      <c r="AI36" s="908"/>
      <c r="AJ36" s="908"/>
      <c r="AK36" s="711">
        <v>0</v>
      </c>
      <c r="AL36" s="637"/>
      <c r="AM36" s="637"/>
      <c r="AN36" s="637"/>
      <c r="AO36" s="637"/>
      <c r="AP36" s="637"/>
      <c r="AQ36" s="637"/>
      <c r="AR36" s="637"/>
      <c r="AS36" s="637"/>
      <c r="AT36" s="664"/>
      <c r="AU36" s="667"/>
      <c r="AV36" s="667"/>
      <c r="AW36" s="667"/>
      <c r="AX36" s="667"/>
      <c r="AY36" s="667"/>
      <c r="AZ36" s="667"/>
      <c r="BA36" s="667"/>
      <c r="BB36" s="667"/>
      <c r="BC36" s="667"/>
      <c r="BD36" s="667"/>
      <c r="BE36" s="667"/>
      <c r="BF36" s="667"/>
      <c r="BG36" s="749"/>
      <c r="BH36" s="667"/>
      <c r="BI36" s="667"/>
      <c r="BJ36" s="667"/>
      <c r="BK36" s="667"/>
      <c r="BL36" s="667"/>
      <c r="BM36" s="667"/>
      <c r="BN36" s="667"/>
      <c r="BO36" s="667"/>
      <c r="BP36" s="667"/>
      <c r="BQ36" s="667"/>
      <c r="BR36" s="667"/>
      <c r="BS36" s="667"/>
      <c r="BT36" s="667"/>
      <c r="BU36" s="667"/>
      <c r="BV36" s="667"/>
      <c r="BW36" s="667"/>
      <c r="BX36" s="667"/>
      <c r="BY36" s="667"/>
      <c r="BZ36" s="667"/>
      <c r="CA36" s="667"/>
      <c r="CB36" s="667"/>
      <c r="CC36" s="667"/>
      <c r="CD36" s="667"/>
      <c r="CE36" s="667"/>
      <c r="CF36" s="667"/>
      <c r="CG36" s="667"/>
      <c r="CH36" s="664"/>
      <c r="CI36" s="401"/>
      <c r="CJ36" s="664"/>
      <c r="CK36" s="664"/>
      <c r="CL36" s="664"/>
      <c r="CM36" s="664"/>
      <c r="CN36" s="664"/>
      <c r="CO36" s="664"/>
      <c r="CP36" s="664"/>
      <c r="CQ36" s="664"/>
      <c r="CR36" s="664"/>
      <c r="CS36" s="664"/>
      <c r="CT36" s="664"/>
      <c r="CU36" s="664"/>
      <c r="CV36" s="664"/>
      <c r="CW36" s="664"/>
      <c r="CX36" s="664"/>
      <c r="CY36" s="664"/>
      <c r="CZ36" s="664"/>
      <c r="DA36" s="664"/>
      <c r="DB36" s="664"/>
      <c r="DC36" s="664"/>
      <c r="DD36" s="664"/>
      <c r="DE36" s="664"/>
      <c r="DF36" s="664"/>
      <c r="DG36" s="664">
        <f t="shared" si="44"/>
        <v>0</v>
      </c>
      <c r="DH36" s="469"/>
      <c r="DI36" s="469"/>
      <c r="DJ36" s="469"/>
      <c r="DK36" s="469"/>
      <c r="DL36" s="469"/>
      <c r="DM36" s="469"/>
      <c r="DN36" s="469"/>
      <c r="DO36" s="469">
        <f>128570+28441.8</f>
        <v>157011.79999999999</v>
      </c>
      <c r="DP36" s="469"/>
      <c r="DQ36" s="469"/>
      <c r="DR36" s="469"/>
      <c r="DS36" s="469"/>
      <c r="DT36" s="907">
        <f t="shared" si="6"/>
        <v>157011.79999999999</v>
      </c>
    </row>
    <row r="37" spans="1:125" s="624" customFormat="1" x14ac:dyDescent="0.2">
      <c r="A37" s="617" t="s">
        <v>2046</v>
      </c>
      <c r="B37" s="469" t="s">
        <v>107</v>
      </c>
      <c r="C37" s="904" t="s">
        <v>1980</v>
      </c>
      <c r="D37" s="469" t="s">
        <v>1903</v>
      </c>
      <c r="E37" s="469"/>
      <c r="F37" s="469"/>
      <c r="G37" s="469"/>
      <c r="H37" s="469"/>
      <c r="I37" s="469"/>
      <c r="J37" s="617"/>
      <c r="K37" s="617"/>
      <c r="L37" s="655"/>
      <c r="M37" s="905"/>
      <c r="N37" s="905"/>
      <c r="O37" s="905"/>
      <c r="P37" s="905"/>
      <c r="Q37" s="905"/>
      <c r="R37" s="905"/>
      <c r="S37" s="905"/>
      <c r="T37" s="905"/>
      <c r="U37" s="905"/>
      <c r="V37" s="905"/>
      <c r="W37" s="905"/>
      <c r="X37" s="905"/>
      <c r="Y37" s="905"/>
      <c r="Z37" s="905"/>
      <c r="AA37" s="905"/>
      <c r="AB37" s="905"/>
      <c r="AC37" s="905"/>
      <c r="AD37" s="905"/>
      <c r="AE37" s="905"/>
      <c r="AF37" s="905"/>
      <c r="AG37" s="905"/>
      <c r="AH37" s="905"/>
      <c r="AI37" s="905"/>
      <c r="AJ37" s="905"/>
      <c r="AK37" s="617"/>
      <c r="AL37" s="617"/>
      <c r="AM37" s="617"/>
      <c r="AN37" s="617"/>
      <c r="AO37" s="617"/>
      <c r="AP37" s="617"/>
      <c r="AQ37" s="617"/>
      <c r="AR37" s="617"/>
      <c r="AS37" s="617"/>
      <c r="AT37" s="469"/>
      <c r="AU37" s="656"/>
      <c r="AV37" s="656"/>
      <c r="AW37" s="656"/>
      <c r="AX37" s="656"/>
      <c r="AY37" s="656"/>
      <c r="AZ37" s="656"/>
      <c r="BA37" s="656"/>
      <c r="BB37" s="656"/>
      <c r="BC37" s="656"/>
      <c r="BD37" s="656"/>
      <c r="BE37" s="656"/>
      <c r="BF37" s="656"/>
      <c r="BG37" s="906"/>
      <c r="BH37" s="656"/>
      <c r="BI37" s="656"/>
      <c r="BJ37" s="656"/>
      <c r="BK37" s="656"/>
      <c r="BL37" s="656"/>
      <c r="BM37" s="656"/>
      <c r="BN37" s="656"/>
      <c r="BO37" s="656"/>
      <c r="BP37" s="656"/>
      <c r="BQ37" s="656"/>
      <c r="BR37" s="656"/>
      <c r="BS37" s="656"/>
      <c r="BT37" s="656"/>
      <c r="BU37" s="656"/>
      <c r="BV37" s="656"/>
      <c r="BW37" s="656"/>
      <c r="BX37" s="656"/>
      <c r="BY37" s="656"/>
      <c r="BZ37" s="656"/>
      <c r="CA37" s="656"/>
      <c r="CB37" s="656"/>
      <c r="CC37" s="656"/>
      <c r="CD37" s="656"/>
      <c r="CE37" s="656"/>
      <c r="CF37" s="656"/>
      <c r="CG37" s="656"/>
      <c r="CH37" s="469"/>
      <c r="CI37" s="657"/>
      <c r="CJ37" s="469"/>
      <c r="CK37" s="469"/>
      <c r="CL37" s="469"/>
      <c r="CM37" s="469"/>
      <c r="CN37" s="469"/>
      <c r="CO37" s="469"/>
      <c r="CP37" s="469"/>
      <c r="CQ37" s="469"/>
      <c r="CR37" s="469"/>
      <c r="CS37" s="469"/>
      <c r="CT37" s="469"/>
      <c r="CU37" s="469"/>
      <c r="CV37" s="469"/>
      <c r="CW37" s="469"/>
      <c r="CX37" s="469"/>
      <c r="CY37" s="469"/>
      <c r="CZ37" s="469"/>
      <c r="DA37" s="469"/>
      <c r="DB37" s="469"/>
      <c r="DC37" s="469"/>
      <c r="DD37" s="469"/>
      <c r="DE37" s="469"/>
      <c r="DF37" s="469"/>
      <c r="DG37" s="469"/>
      <c r="DH37" s="469"/>
      <c r="DI37" s="469"/>
      <c r="DJ37" s="469"/>
      <c r="DK37" s="469"/>
      <c r="DL37" s="469"/>
      <c r="DM37" s="469">
        <f>1998.447+1411.95</f>
        <v>3410.3969999999999</v>
      </c>
      <c r="DN37" s="469">
        <v>1360.7144999999998</v>
      </c>
      <c r="DO37" s="469">
        <f>3896.016+7869.06</f>
        <v>11765.076000000001</v>
      </c>
      <c r="DP37" s="469">
        <v>30057.020999999997</v>
      </c>
      <c r="DQ37" s="469"/>
      <c r="DR37" s="469"/>
      <c r="DS37" s="469"/>
      <c r="DT37" s="907">
        <f t="shared" si="6"/>
        <v>46593.208499999993</v>
      </c>
    </row>
    <row r="38" spans="1:125" s="624" customFormat="1" x14ac:dyDescent="0.2">
      <c r="A38" s="469" t="s">
        <v>2047</v>
      </c>
      <c r="B38" s="469" t="s">
        <v>107</v>
      </c>
      <c r="C38" s="904" t="s">
        <v>1981</v>
      </c>
      <c r="D38" s="469" t="s">
        <v>1933</v>
      </c>
      <c r="E38" s="469"/>
      <c r="F38" s="469"/>
      <c r="G38" s="469"/>
      <c r="H38" s="469"/>
      <c r="I38" s="469"/>
      <c r="J38" s="617"/>
      <c r="K38" s="617"/>
      <c r="L38" s="655"/>
      <c r="M38" s="905"/>
      <c r="N38" s="905"/>
      <c r="O38" s="905"/>
      <c r="P38" s="905"/>
      <c r="Q38" s="905"/>
      <c r="R38" s="905"/>
      <c r="S38" s="905"/>
      <c r="T38" s="905"/>
      <c r="U38" s="905"/>
      <c r="V38" s="905"/>
      <c r="W38" s="905"/>
      <c r="X38" s="905"/>
      <c r="Y38" s="905"/>
      <c r="Z38" s="905"/>
      <c r="AA38" s="905"/>
      <c r="AB38" s="905"/>
      <c r="AC38" s="905"/>
      <c r="AD38" s="905"/>
      <c r="AE38" s="905"/>
      <c r="AF38" s="905"/>
      <c r="AG38" s="905"/>
      <c r="AH38" s="905"/>
      <c r="AI38" s="905"/>
      <c r="AJ38" s="905"/>
      <c r="AK38" s="617"/>
      <c r="AL38" s="617"/>
      <c r="AM38" s="617"/>
      <c r="AN38" s="617"/>
      <c r="AO38" s="617"/>
      <c r="AP38" s="617"/>
      <c r="AQ38" s="617"/>
      <c r="AR38" s="617"/>
      <c r="AS38" s="617"/>
      <c r="AT38" s="469"/>
      <c r="AU38" s="656"/>
      <c r="AV38" s="656"/>
      <c r="AW38" s="656"/>
      <c r="AX38" s="656"/>
      <c r="AY38" s="656"/>
      <c r="AZ38" s="656"/>
      <c r="BA38" s="656"/>
      <c r="BB38" s="656"/>
      <c r="BC38" s="656"/>
      <c r="BD38" s="656"/>
      <c r="BE38" s="656"/>
      <c r="BF38" s="656"/>
      <c r="BG38" s="906"/>
      <c r="BH38" s="656"/>
      <c r="BI38" s="656"/>
      <c r="BJ38" s="656"/>
      <c r="BK38" s="656"/>
      <c r="BL38" s="656"/>
      <c r="BM38" s="656"/>
      <c r="BN38" s="656"/>
      <c r="BO38" s="656"/>
      <c r="BP38" s="656"/>
      <c r="BQ38" s="656"/>
      <c r="BR38" s="656"/>
      <c r="BS38" s="656"/>
      <c r="BT38" s="656"/>
      <c r="BU38" s="656"/>
      <c r="BV38" s="656"/>
      <c r="BW38" s="656"/>
      <c r="BX38" s="656"/>
      <c r="BY38" s="656"/>
      <c r="BZ38" s="656"/>
      <c r="CA38" s="656"/>
      <c r="CB38" s="656"/>
      <c r="CC38" s="656"/>
      <c r="CD38" s="656"/>
      <c r="CE38" s="656"/>
      <c r="CF38" s="656"/>
      <c r="CG38" s="656"/>
      <c r="CH38" s="469"/>
      <c r="CI38" s="657"/>
      <c r="CJ38" s="469"/>
      <c r="CK38" s="469"/>
      <c r="CL38" s="469"/>
      <c r="CM38" s="469"/>
      <c r="CN38" s="469"/>
      <c r="CO38" s="469"/>
      <c r="CP38" s="469"/>
      <c r="CQ38" s="469"/>
      <c r="CR38" s="469"/>
      <c r="CS38" s="469"/>
      <c r="CT38" s="469"/>
      <c r="CU38" s="469"/>
      <c r="CV38" s="469"/>
      <c r="CW38" s="469"/>
      <c r="CX38" s="469"/>
      <c r="CY38" s="469"/>
      <c r="CZ38" s="469"/>
      <c r="DA38" s="469"/>
      <c r="DB38" s="469"/>
      <c r="DC38" s="469"/>
      <c r="DD38" s="469"/>
      <c r="DE38" s="469"/>
      <c r="DF38" s="469"/>
      <c r="DG38" s="469"/>
      <c r="DH38" s="469"/>
      <c r="DI38" s="469"/>
      <c r="DJ38" s="469"/>
      <c r="DK38" s="469"/>
      <c r="DL38" s="469"/>
      <c r="DM38" s="469"/>
      <c r="DN38" s="469"/>
      <c r="DO38" s="469"/>
      <c r="DP38" s="469">
        <v>395139.59</v>
      </c>
      <c r="DQ38" s="469"/>
      <c r="DR38" s="469"/>
      <c r="DS38" s="469"/>
      <c r="DT38" s="907">
        <f t="shared" si="6"/>
        <v>395139.59</v>
      </c>
    </row>
    <row r="39" spans="1:125" s="624" customFormat="1" x14ac:dyDescent="0.2">
      <c r="A39" s="469" t="s">
        <v>2048</v>
      </c>
      <c r="B39" s="469" t="s">
        <v>107</v>
      </c>
      <c r="C39" s="904" t="s">
        <v>1982</v>
      </c>
      <c r="D39" s="469" t="s">
        <v>1938</v>
      </c>
      <c r="E39" s="469"/>
      <c r="F39" s="469"/>
      <c r="G39" s="469"/>
      <c r="H39" s="469"/>
      <c r="I39" s="469"/>
      <c r="J39" s="617"/>
      <c r="K39" s="617"/>
      <c r="L39" s="655"/>
      <c r="M39" s="905"/>
      <c r="N39" s="905"/>
      <c r="O39" s="905"/>
      <c r="P39" s="905"/>
      <c r="Q39" s="905"/>
      <c r="R39" s="905"/>
      <c r="S39" s="905"/>
      <c r="T39" s="905"/>
      <c r="U39" s="905"/>
      <c r="V39" s="905"/>
      <c r="W39" s="905"/>
      <c r="X39" s="905"/>
      <c r="Y39" s="905"/>
      <c r="Z39" s="905"/>
      <c r="AA39" s="905"/>
      <c r="AB39" s="905"/>
      <c r="AC39" s="905"/>
      <c r="AD39" s="905"/>
      <c r="AE39" s="905"/>
      <c r="AF39" s="905"/>
      <c r="AG39" s="905"/>
      <c r="AH39" s="905"/>
      <c r="AI39" s="905"/>
      <c r="AJ39" s="905"/>
      <c r="AK39" s="617"/>
      <c r="AL39" s="617"/>
      <c r="AM39" s="617"/>
      <c r="AN39" s="617"/>
      <c r="AO39" s="617"/>
      <c r="AP39" s="617"/>
      <c r="AQ39" s="617"/>
      <c r="AR39" s="617"/>
      <c r="AS39" s="617"/>
      <c r="AT39" s="469"/>
      <c r="AU39" s="656"/>
      <c r="AV39" s="656"/>
      <c r="AW39" s="656"/>
      <c r="AX39" s="656"/>
      <c r="AY39" s="656"/>
      <c r="AZ39" s="656"/>
      <c r="BA39" s="656"/>
      <c r="BB39" s="656"/>
      <c r="BC39" s="656"/>
      <c r="BD39" s="656"/>
      <c r="BE39" s="656"/>
      <c r="BF39" s="656"/>
      <c r="BG39" s="906"/>
      <c r="BH39" s="656"/>
      <c r="BI39" s="656"/>
      <c r="BJ39" s="656"/>
      <c r="BK39" s="656"/>
      <c r="BL39" s="656"/>
      <c r="BM39" s="656"/>
      <c r="BN39" s="656"/>
      <c r="BO39" s="656"/>
      <c r="BP39" s="656"/>
      <c r="BQ39" s="656"/>
      <c r="BR39" s="656"/>
      <c r="BS39" s="656"/>
      <c r="BT39" s="656"/>
      <c r="BU39" s="656"/>
      <c r="BV39" s="656"/>
      <c r="BW39" s="656"/>
      <c r="BX39" s="656"/>
      <c r="BY39" s="656"/>
      <c r="BZ39" s="656"/>
      <c r="CA39" s="656"/>
      <c r="CB39" s="656"/>
      <c r="CC39" s="656"/>
      <c r="CD39" s="656"/>
      <c r="CE39" s="656"/>
      <c r="CF39" s="656"/>
      <c r="CG39" s="656"/>
      <c r="CH39" s="469"/>
      <c r="CI39" s="657"/>
      <c r="CJ39" s="469"/>
      <c r="CK39" s="469"/>
      <c r="CL39" s="469"/>
      <c r="CM39" s="469"/>
      <c r="CN39" s="469"/>
      <c r="CO39" s="469"/>
      <c r="CP39" s="469"/>
      <c r="CQ39" s="469"/>
      <c r="CR39" s="469"/>
      <c r="CS39" s="469"/>
      <c r="CT39" s="469"/>
      <c r="CU39" s="469"/>
      <c r="CV39" s="469"/>
      <c r="CW39" s="469"/>
      <c r="CX39" s="469"/>
      <c r="CY39" s="469"/>
      <c r="CZ39" s="469"/>
      <c r="DA39" s="469"/>
      <c r="DB39" s="469"/>
      <c r="DC39" s="469"/>
      <c r="DD39" s="469"/>
      <c r="DE39" s="469"/>
      <c r="DF39" s="469"/>
      <c r="DG39" s="469"/>
      <c r="DH39" s="469"/>
      <c r="DI39" s="469"/>
      <c r="DJ39" s="469"/>
      <c r="DK39" s="469"/>
      <c r="DL39" s="469"/>
      <c r="DM39" s="469"/>
      <c r="DN39" s="469"/>
      <c r="DO39" s="469"/>
      <c r="DP39" s="469"/>
      <c r="DQ39" s="469">
        <v>1669267.55</v>
      </c>
      <c r="DR39" s="469"/>
      <c r="DS39" s="469"/>
      <c r="DT39" s="907">
        <f t="shared" si="6"/>
        <v>1669267.55</v>
      </c>
    </row>
    <row r="40" spans="1:125" s="624" customFormat="1" x14ac:dyDescent="0.2">
      <c r="A40" s="469" t="s">
        <v>2049</v>
      </c>
      <c r="B40" s="469" t="s">
        <v>107</v>
      </c>
      <c r="C40" s="904" t="s">
        <v>1983</v>
      </c>
      <c r="D40" s="469" t="s">
        <v>1939</v>
      </c>
      <c r="E40" s="469"/>
      <c r="F40" s="469"/>
      <c r="G40" s="469"/>
      <c r="H40" s="469"/>
      <c r="I40" s="469"/>
      <c r="J40" s="617"/>
      <c r="K40" s="617"/>
      <c r="L40" s="655"/>
      <c r="M40" s="905"/>
      <c r="N40" s="905"/>
      <c r="O40" s="905"/>
      <c r="P40" s="905"/>
      <c r="Q40" s="905"/>
      <c r="R40" s="905"/>
      <c r="S40" s="905"/>
      <c r="T40" s="905"/>
      <c r="U40" s="905"/>
      <c r="V40" s="905"/>
      <c r="W40" s="905"/>
      <c r="X40" s="905"/>
      <c r="Y40" s="905"/>
      <c r="Z40" s="905"/>
      <c r="AA40" s="905"/>
      <c r="AB40" s="905"/>
      <c r="AC40" s="905"/>
      <c r="AD40" s="905"/>
      <c r="AE40" s="905"/>
      <c r="AF40" s="905"/>
      <c r="AG40" s="905"/>
      <c r="AH40" s="905"/>
      <c r="AI40" s="905"/>
      <c r="AJ40" s="905"/>
      <c r="AK40" s="617"/>
      <c r="AL40" s="617"/>
      <c r="AM40" s="617"/>
      <c r="AN40" s="617"/>
      <c r="AO40" s="617"/>
      <c r="AP40" s="617"/>
      <c r="AQ40" s="617"/>
      <c r="AR40" s="617"/>
      <c r="AS40" s="617"/>
      <c r="AT40" s="469"/>
      <c r="AU40" s="656"/>
      <c r="AV40" s="656"/>
      <c r="AW40" s="656"/>
      <c r="AX40" s="656"/>
      <c r="AY40" s="656"/>
      <c r="AZ40" s="656"/>
      <c r="BA40" s="656"/>
      <c r="BB40" s="656"/>
      <c r="BC40" s="656"/>
      <c r="BD40" s="656"/>
      <c r="BE40" s="656"/>
      <c r="BF40" s="656"/>
      <c r="BG40" s="906"/>
      <c r="BH40" s="656"/>
      <c r="BI40" s="656"/>
      <c r="BJ40" s="656"/>
      <c r="BK40" s="656"/>
      <c r="BL40" s="656"/>
      <c r="BM40" s="656"/>
      <c r="BN40" s="656"/>
      <c r="BO40" s="656"/>
      <c r="BP40" s="656"/>
      <c r="BQ40" s="656"/>
      <c r="BR40" s="656"/>
      <c r="BS40" s="656"/>
      <c r="BT40" s="656"/>
      <c r="BU40" s="656"/>
      <c r="BV40" s="656"/>
      <c r="BW40" s="656"/>
      <c r="BX40" s="656"/>
      <c r="BY40" s="656"/>
      <c r="BZ40" s="656"/>
      <c r="CA40" s="656"/>
      <c r="CB40" s="656"/>
      <c r="CC40" s="656"/>
      <c r="CD40" s="656"/>
      <c r="CE40" s="656"/>
      <c r="CF40" s="656"/>
      <c r="CG40" s="656"/>
      <c r="CH40" s="469"/>
      <c r="CI40" s="657"/>
      <c r="CJ40" s="469"/>
      <c r="CK40" s="469"/>
      <c r="CL40" s="469"/>
      <c r="CM40" s="469"/>
      <c r="CN40" s="469"/>
      <c r="CO40" s="469"/>
      <c r="CP40" s="469"/>
      <c r="CQ40" s="469"/>
      <c r="CR40" s="469"/>
      <c r="CS40" s="469"/>
      <c r="CT40" s="469"/>
      <c r="CU40" s="469"/>
      <c r="CV40" s="469"/>
      <c r="CW40" s="469"/>
      <c r="CX40" s="469"/>
      <c r="CY40" s="469"/>
      <c r="CZ40" s="469"/>
      <c r="DA40" s="469"/>
      <c r="DB40" s="469"/>
      <c r="DC40" s="469"/>
      <c r="DD40" s="469"/>
      <c r="DE40" s="469"/>
      <c r="DF40" s="469"/>
      <c r="DG40" s="469"/>
      <c r="DH40" s="469"/>
      <c r="DI40" s="469"/>
      <c r="DJ40" s="469"/>
      <c r="DK40" s="469"/>
      <c r="DL40" s="469"/>
      <c r="DM40" s="469">
        <v>600029.35</v>
      </c>
      <c r="DN40" s="469"/>
      <c r="DO40" s="469"/>
      <c r="DP40" s="469">
        <v>2991848.3</v>
      </c>
      <c r="DQ40" s="469"/>
      <c r="DR40" s="469"/>
      <c r="DS40" s="469"/>
      <c r="DT40" s="907">
        <f t="shared" si="6"/>
        <v>3591877.65</v>
      </c>
    </row>
    <row r="41" spans="1:125" s="624" customFormat="1" x14ac:dyDescent="0.2">
      <c r="A41" s="617" t="s">
        <v>2050</v>
      </c>
      <c r="B41" s="469" t="s">
        <v>107</v>
      </c>
      <c r="C41" s="904" t="s">
        <v>1988</v>
      </c>
      <c r="D41" s="469" t="s">
        <v>1912</v>
      </c>
      <c r="E41" s="469"/>
      <c r="F41" s="469"/>
      <c r="G41" s="469"/>
      <c r="H41" s="469"/>
      <c r="I41" s="469"/>
      <c r="J41" s="617"/>
      <c r="K41" s="617"/>
      <c r="L41" s="655"/>
      <c r="M41" s="905"/>
      <c r="N41" s="905"/>
      <c r="O41" s="905"/>
      <c r="P41" s="905"/>
      <c r="Q41" s="905"/>
      <c r="R41" s="905"/>
      <c r="S41" s="905"/>
      <c r="T41" s="905"/>
      <c r="U41" s="905"/>
      <c r="V41" s="905"/>
      <c r="W41" s="905"/>
      <c r="X41" s="905"/>
      <c r="Y41" s="905"/>
      <c r="Z41" s="905"/>
      <c r="AA41" s="905"/>
      <c r="AB41" s="905"/>
      <c r="AC41" s="905"/>
      <c r="AD41" s="905"/>
      <c r="AE41" s="905"/>
      <c r="AF41" s="905"/>
      <c r="AG41" s="905"/>
      <c r="AH41" s="905"/>
      <c r="AI41" s="905"/>
      <c r="AJ41" s="905"/>
      <c r="AK41" s="617"/>
      <c r="AL41" s="617"/>
      <c r="AM41" s="617"/>
      <c r="AN41" s="617"/>
      <c r="AO41" s="617"/>
      <c r="AP41" s="617"/>
      <c r="AQ41" s="617"/>
      <c r="AR41" s="617"/>
      <c r="AS41" s="617"/>
      <c r="AT41" s="469"/>
      <c r="AU41" s="656"/>
      <c r="AV41" s="656"/>
      <c r="AW41" s="656"/>
      <c r="AX41" s="656"/>
      <c r="AY41" s="656"/>
      <c r="AZ41" s="656"/>
      <c r="BA41" s="656"/>
      <c r="BB41" s="656"/>
      <c r="BC41" s="656"/>
      <c r="BD41" s="656"/>
      <c r="BE41" s="656"/>
      <c r="BF41" s="656"/>
      <c r="BG41" s="906"/>
      <c r="BH41" s="656"/>
      <c r="BI41" s="656"/>
      <c r="BJ41" s="656"/>
      <c r="BK41" s="656"/>
      <c r="BL41" s="656"/>
      <c r="BM41" s="656"/>
      <c r="BN41" s="656"/>
      <c r="BO41" s="656"/>
      <c r="BP41" s="656"/>
      <c r="BQ41" s="656"/>
      <c r="BR41" s="656"/>
      <c r="BS41" s="656"/>
      <c r="BT41" s="656"/>
      <c r="BU41" s="656"/>
      <c r="BV41" s="656"/>
      <c r="BW41" s="656"/>
      <c r="BX41" s="656"/>
      <c r="BY41" s="656"/>
      <c r="BZ41" s="656"/>
      <c r="CA41" s="656"/>
      <c r="CB41" s="656"/>
      <c r="CC41" s="656"/>
      <c r="CD41" s="656"/>
      <c r="CE41" s="656"/>
      <c r="CF41" s="656"/>
      <c r="CG41" s="656"/>
      <c r="CH41" s="469"/>
      <c r="CI41" s="657"/>
      <c r="CJ41" s="469"/>
      <c r="CK41" s="469"/>
      <c r="CL41" s="469"/>
      <c r="CM41" s="469"/>
      <c r="CN41" s="469"/>
      <c r="CO41" s="469"/>
      <c r="CP41" s="469"/>
      <c r="CQ41" s="469"/>
      <c r="CR41" s="469"/>
      <c r="CS41" s="469"/>
      <c r="CT41" s="469"/>
      <c r="CU41" s="469"/>
      <c r="CV41" s="469"/>
      <c r="CW41" s="469"/>
      <c r="CX41" s="469"/>
      <c r="CY41" s="469"/>
      <c r="CZ41" s="469"/>
      <c r="DA41" s="469"/>
      <c r="DB41" s="469"/>
      <c r="DC41" s="469"/>
      <c r="DD41" s="469"/>
      <c r="DE41" s="469"/>
      <c r="DF41" s="469"/>
      <c r="DG41" s="469"/>
      <c r="DH41" s="469"/>
      <c r="DI41" s="469"/>
      <c r="DJ41" s="469"/>
      <c r="DK41" s="469"/>
      <c r="DL41" s="469"/>
      <c r="DM41" s="469"/>
      <c r="DN41" s="469"/>
      <c r="DO41" s="469"/>
      <c r="DP41" s="469">
        <v>347041.25</v>
      </c>
      <c r="DQ41" s="469"/>
      <c r="DR41" s="469"/>
      <c r="DS41" s="469"/>
      <c r="DT41" s="907">
        <f t="shared" si="6"/>
        <v>347041.25</v>
      </c>
    </row>
    <row r="42" spans="1:125" s="624" customFormat="1" x14ac:dyDescent="0.2">
      <c r="A42" s="469" t="s">
        <v>2051</v>
      </c>
      <c r="B42" s="469" t="s">
        <v>107</v>
      </c>
      <c r="C42" s="904" t="s">
        <v>2055</v>
      </c>
      <c r="D42" s="617" t="s">
        <v>1911</v>
      </c>
      <c r="E42" s="469"/>
      <c r="F42" s="469"/>
      <c r="G42" s="469"/>
      <c r="H42" s="469"/>
      <c r="I42" s="469"/>
      <c r="J42" s="617"/>
      <c r="K42" s="617"/>
      <c r="L42" s="65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617"/>
      <c r="AL42" s="617"/>
      <c r="AM42" s="617"/>
      <c r="AN42" s="617"/>
      <c r="AO42" s="617"/>
      <c r="AP42" s="617"/>
      <c r="AQ42" s="617"/>
      <c r="AR42" s="617"/>
      <c r="AS42" s="617"/>
      <c r="AT42" s="469"/>
      <c r="AU42" s="656"/>
      <c r="AV42" s="656"/>
      <c r="AW42" s="656"/>
      <c r="AX42" s="656"/>
      <c r="AY42" s="656"/>
      <c r="AZ42" s="656"/>
      <c r="BA42" s="656"/>
      <c r="BB42" s="656"/>
      <c r="BC42" s="656"/>
      <c r="BD42" s="656"/>
      <c r="BE42" s="656"/>
      <c r="BF42" s="656"/>
      <c r="BG42" s="906"/>
      <c r="BH42" s="656"/>
      <c r="BI42" s="656"/>
      <c r="BJ42" s="656"/>
      <c r="BK42" s="656"/>
      <c r="BL42" s="656"/>
      <c r="BM42" s="656"/>
      <c r="BN42" s="656"/>
      <c r="BO42" s="656"/>
      <c r="BP42" s="656"/>
      <c r="BQ42" s="656"/>
      <c r="BR42" s="656"/>
      <c r="BS42" s="656"/>
      <c r="BT42" s="656"/>
      <c r="BU42" s="656"/>
      <c r="BV42" s="656"/>
      <c r="BW42" s="656"/>
      <c r="BX42" s="656"/>
      <c r="BY42" s="656"/>
      <c r="BZ42" s="656"/>
      <c r="CA42" s="656"/>
      <c r="CB42" s="656"/>
      <c r="CC42" s="656"/>
      <c r="CD42" s="656"/>
      <c r="CE42" s="656"/>
      <c r="CF42" s="656"/>
      <c r="CG42" s="656"/>
      <c r="CH42" s="469"/>
      <c r="CI42" s="657"/>
      <c r="CJ42" s="469"/>
      <c r="CK42" s="469"/>
      <c r="CL42" s="469"/>
      <c r="CM42" s="469"/>
      <c r="CN42" s="469"/>
      <c r="CO42" s="469"/>
      <c r="CP42" s="469"/>
      <c r="CQ42" s="469"/>
      <c r="CR42" s="469"/>
      <c r="CS42" s="469"/>
      <c r="CT42" s="469"/>
      <c r="CU42" s="469"/>
      <c r="CV42" s="469"/>
      <c r="CW42" s="469"/>
      <c r="CX42" s="469"/>
      <c r="CY42" s="469"/>
      <c r="CZ42" s="469"/>
      <c r="DA42" s="469"/>
      <c r="DB42" s="469"/>
      <c r="DC42" s="469"/>
      <c r="DD42" s="469"/>
      <c r="DE42" s="469"/>
      <c r="DF42" s="469"/>
      <c r="DG42" s="469"/>
      <c r="DH42" s="469"/>
      <c r="DI42" s="469"/>
      <c r="DJ42" s="469"/>
      <c r="DK42" s="469"/>
      <c r="DL42" s="469"/>
      <c r="DM42" s="469"/>
      <c r="DN42" s="469"/>
      <c r="DO42" s="469"/>
      <c r="DP42" s="469"/>
      <c r="DQ42" s="469"/>
      <c r="DR42" s="469"/>
      <c r="DS42" s="469">
        <v>295236</v>
      </c>
      <c r="DT42" s="907">
        <f t="shared" si="6"/>
        <v>295236</v>
      </c>
    </row>
    <row r="43" spans="1:125" x14ac:dyDescent="0.2">
      <c r="A43" s="1" t="s">
        <v>2052</v>
      </c>
      <c r="B43" s="1" t="s">
        <v>107</v>
      </c>
      <c r="C43" s="903" t="s">
        <v>351</v>
      </c>
      <c r="D43" s="44" t="s">
        <v>2059</v>
      </c>
      <c r="E43" s="1"/>
      <c r="F43" s="1"/>
      <c r="G43" s="1"/>
      <c r="H43" s="1"/>
      <c r="I43" s="1"/>
      <c r="J43" s="46"/>
      <c r="K43" s="46"/>
      <c r="L43" s="892"/>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46"/>
      <c r="AL43" s="46"/>
      <c r="AM43" s="46"/>
      <c r="AN43" s="46"/>
      <c r="AO43" s="46"/>
      <c r="AP43" s="46"/>
      <c r="AQ43" s="46"/>
      <c r="AR43" s="46"/>
      <c r="AS43" s="46"/>
      <c r="AT43" s="1"/>
      <c r="AU43" s="893"/>
      <c r="AV43" s="893"/>
      <c r="AW43" s="893"/>
      <c r="AX43" s="893"/>
      <c r="AY43" s="893"/>
      <c r="AZ43" s="893"/>
      <c r="BA43" s="893"/>
      <c r="BB43" s="893"/>
      <c r="BC43" s="893"/>
      <c r="BD43" s="893"/>
      <c r="BE43" s="893"/>
      <c r="BF43" s="893"/>
      <c r="BG43" s="894"/>
      <c r="BH43" s="893"/>
      <c r="BI43" s="893"/>
      <c r="BJ43" s="893"/>
      <c r="BK43" s="893"/>
      <c r="BL43" s="893"/>
      <c r="BM43" s="893"/>
      <c r="BN43" s="893"/>
      <c r="BO43" s="893"/>
      <c r="BP43" s="893"/>
      <c r="BQ43" s="893"/>
      <c r="BR43" s="893"/>
      <c r="BS43" s="893"/>
      <c r="BT43" s="893"/>
      <c r="BU43" s="893"/>
      <c r="BV43" s="893"/>
      <c r="BW43" s="893"/>
      <c r="BX43" s="893"/>
      <c r="BY43" s="893"/>
      <c r="BZ43" s="893"/>
      <c r="CA43" s="893"/>
      <c r="CB43" s="893"/>
      <c r="CC43" s="893"/>
      <c r="CD43" s="893"/>
      <c r="CE43" s="893"/>
      <c r="CF43" s="893"/>
      <c r="CG43" s="893"/>
      <c r="CH43" s="1"/>
      <c r="CI43" s="25"/>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96">
        <f t="shared" si="6"/>
        <v>0</v>
      </c>
    </row>
    <row r="44" spans="1:125" s="624" customFormat="1" x14ac:dyDescent="0.2">
      <c r="A44" s="469" t="s">
        <v>2053</v>
      </c>
      <c r="B44" s="469" t="s">
        <v>107</v>
      </c>
      <c r="C44" s="904" t="s">
        <v>2056</v>
      </c>
      <c r="D44" s="617" t="s">
        <v>1932</v>
      </c>
      <c r="E44" s="469"/>
      <c r="F44" s="469"/>
      <c r="G44" s="469"/>
      <c r="H44" s="469"/>
      <c r="I44" s="469"/>
      <c r="J44" s="617"/>
      <c r="K44" s="617"/>
      <c r="L44" s="655"/>
      <c r="M44" s="905"/>
      <c r="N44" s="905"/>
      <c r="O44" s="905"/>
      <c r="P44" s="905"/>
      <c r="Q44" s="905"/>
      <c r="R44" s="905"/>
      <c r="S44" s="905"/>
      <c r="T44" s="905"/>
      <c r="U44" s="905"/>
      <c r="V44" s="905"/>
      <c r="W44" s="905"/>
      <c r="X44" s="905"/>
      <c r="Y44" s="905"/>
      <c r="Z44" s="905"/>
      <c r="AA44" s="905"/>
      <c r="AB44" s="905"/>
      <c r="AC44" s="905"/>
      <c r="AD44" s="905"/>
      <c r="AE44" s="905"/>
      <c r="AF44" s="905"/>
      <c r="AG44" s="905"/>
      <c r="AH44" s="905"/>
      <c r="AI44" s="905"/>
      <c r="AJ44" s="905"/>
      <c r="AK44" s="617"/>
      <c r="AL44" s="617"/>
      <c r="AM44" s="617"/>
      <c r="AN44" s="617"/>
      <c r="AO44" s="617"/>
      <c r="AP44" s="617"/>
      <c r="AQ44" s="617"/>
      <c r="AR44" s="617"/>
      <c r="AS44" s="617"/>
      <c r="AT44" s="469"/>
      <c r="AU44" s="656"/>
      <c r="AV44" s="656"/>
      <c r="AW44" s="656"/>
      <c r="AX44" s="656"/>
      <c r="AY44" s="656"/>
      <c r="AZ44" s="656"/>
      <c r="BA44" s="656"/>
      <c r="BB44" s="656"/>
      <c r="BC44" s="656"/>
      <c r="BD44" s="656"/>
      <c r="BE44" s="656"/>
      <c r="BF44" s="656"/>
      <c r="BG44" s="906"/>
      <c r="BH44" s="656"/>
      <c r="BI44" s="656"/>
      <c r="BJ44" s="656"/>
      <c r="BK44" s="656"/>
      <c r="BL44" s="656"/>
      <c r="BM44" s="656"/>
      <c r="BN44" s="656"/>
      <c r="BO44" s="656"/>
      <c r="BP44" s="656"/>
      <c r="BQ44" s="656"/>
      <c r="BR44" s="656"/>
      <c r="BS44" s="656"/>
      <c r="BT44" s="656"/>
      <c r="BU44" s="656"/>
      <c r="BV44" s="656"/>
      <c r="BW44" s="656"/>
      <c r="BX44" s="656"/>
      <c r="BY44" s="656"/>
      <c r="BZ44" s="656"/>
      <c r="CA44" s="656"/>
      <c r="CB44" s="656"/>
      <c r="CC44" s="656"/>
      <c r="CD44" s="656"/>
      <c r="CE44" s="656"/>
      <c r="CF44" s="656"/>
      <c r="CG44" s="656"/>
      <c r="CH44" s="469"/>
      <c r="CI44" s="657"/>
      <c r="CJ44" s="469"/>
      <c r="CK44" s="469"/>
      <c r="CL44" s="469"/>
      <c r="CM44" s="469"/>
      <c r="CN44" s="469"/>
      <c r="CO44" s="469"/>
      <c r="CP44" s="469"/>
      <c r="CQ44" s="469"/>
      <c r="CR44" s="469"/>
      <c r="CS44" s="469"/>
      <c r="CT44" s="469"/>
      <c r="CU44" s="469"/>
      <c r="CV44" s="469"/>
      <c r="CW44" s="469"/>
      <c r="CX44" s="469"/>
      <c r="CY44" s="469"/>
      <c r="CZ44" s="469"/>
      <c r="DA44" s="469"/>
      <c r="DB44" s="469"/>
      <c r="DC44" s="469"/>
      <c r="DD44" s="469"/>
      <c r="DE44" s="469"/>
      <c r="DF44" s="469"/>
      <c r="DG44" s="469"/>
      <c r="DH44" s="469"/>
      <c r="DI44" s="469"/>
      <c r="DJ44" s="469"/>
      <c r="DK44" s="469"/>
      <c r="DL44" s="469"/>
      <c r="DM44" s="469"/>
      <c r="DN44" s="469"/>
      <c r="DO44" s="469"/>
      <c r="DP44" s="469"/>
      <c r="DQ44" s="469"/>
      <c r="DR44" s="469"/>
      <c r="DS44" s="469">
        <v>57131.999999999993</v>
      </c>
      <c r="DT44" s="907">
        <f t="shared" si="6"/>
        <v>57131.999999999993</v>
      </c>
    </row>
    <row r="45" spans="1:125" s="624" customFormat="1" ht="24" customHeight="1" x14ac:dyDescent="0.2">
      <c r="A45" s="469" t="s">
        <v>2054</v>
      </c>
      <c r="B45" s="469" t="s">
        <v>107</v>
      </c>
      <c r="C45" s="904" t="s">
        <v>2057</v>
      </c>
      <c r="D45" s="617" t="s">
        <v>1628</v>
      </c>
      <c r="E45" s="469"/>
      <c r="F45" s="469"/>
      <c r="G45" s="469"/>
      <c r="H45" s="469"/>
      <c r="I45" s="469"/>
      <c r="J45" s="617"/>
      <c r="K45" s="617"/>
      <c r="L45" s="655"/>
      <c r="M45" s="905"/>
      <c r="N45" s="905"/>
      <c r="O45" s="905"/>
      <c r="P45" s="905"/>
      <c r="Q45" s="905"/>
      <c r="R45" s="905"/>
      <c r="S45" s="905"/>
      <c r="T45" s="905"/>
      <c r="U45" s="905"/>
      <c r="V45" s="905"/>
      <c r="W45" s="905"/>
      <c r="X45" s="905"/>
      <c r="Y45" s="905"/>
      <c r="Z45" s="905"/>
      <c r="AA45" s="905"/>
      <c r="AB45" s="905"/>
      <c r="AC45" s="905"/>
      <c r="AD45" s="905"/>
      <c r="AE45" s="905"/>
      <c r="AF45" s="905"/>
      <c r="AG45" s="905"/>
      <c r="AH45" s="905"/>
      <c r="AI45" s="905"/>
      <c r="AJ45" s="905"/>
      <c r="AK45" s="617"/>
      <c r="AL45" s="617"/>
      <c r="AM45" s="617"/>
      <c r="AN45" s="617"/>
      <c r="AO45" s="617"/>
      <c r="AP45" s="617"/>
      <c r="AQ45" s="617"/>
      <c r="AR45" s="617"/>
      <c r="AS45" s="617"/>
      <c r="AT45" s="469"/>
      <c r="AU45" s="656"/>
      <c r="AV45" s="656"/>
      <c r="AW45" s="656"/>
      <c r="AX45" s="656"/>
      <c r="AY45" s="656"/>
      <c r="AZ45" s="656"/>
      <c r="BA45" s="656"/>
      <c r="BB45" s="656"/>
      <c r="BC45" s="656"/>
      <c r="BD45" s="656"/>
      <c r="BE45" s="656"/>
      <c r="BF45" s="656"/>
      <c r="BG45" s="906"/>
      <c r="BH45" s="656"/>
      <c r="BI45" s="656"/>
      <c r="BJ45" s="656"/>
      <c r="BK45" s="656"/>
      <c r="BL45" s="656"/>
      <c r="BM45" s="656"/>
      <c r="BN45" s="656"/>
      <c r="BO45" s="656"/>
      <c r="BP45" s="656"/>
      <c r="BQ45" s="656"/>
      <c r="BR45" s="656"/>
      <c r="BS45" s="656"/>
      <c r="BT45" s="656"/>
      <c r="BU45" s="656"/>
      <c r="BV45" s="656"/>
      <c r="BW45" s="656"/>
      <c r="BX45" s="656"/>
      <c r="BY45" s="656"/>
      <c r="BZ45" s="656"/>
      <c r="CA45" s="656"/>
      <c r="CB45" s="656"/>
      <c r="CC45" s="656"/>
      <c r="CD45" s="656"/>
      <c r="CE45" s="656"/>
      <c r="CF45" s="656"/>
      <c r="CG45" s="656"/>
      <c r="CH45" s="469"/>
      <c r="CI45" s="657"/>
      <c r="CJ45" s="469"/>
      <c r="CK45" s="469"/>
      <c r="CL45" s="469"/>
      <c r="CM45" s="469"/>
      <c r="CN45" s="469"/>
      <c r="CO45" s="469"/>
      <c r="CP45" s="469"/>
      <c r="CQ45" s="469"/>
      <c r="CR45" s="469"/>
      <c r="CS45" s="469"/>
      <c r="CT45" s="469"/>
      <c r="CU45" s="469"/>
      <c r="CV45" s="469"/>
      <c r="CW45" s="469"/>
      <c r="CX45" s="469"/>
      <c r="CY45" s="469"/>
      <c r="CZ45" s="469"/>
      <c r="DA45" s="469"/>
      <c r="DB45" s="469"/>
      <c r="DC45" s="469"/>
      <c r="DD45" s="469"/>
      <c r="DE45" s="469"/>
      <c r="DF45" s="469"/>
      <c r="DG45" s="469"/>
      <c r="DH45" s="469"/>
      <c r="DI45" s="469"/>
      <c r="DJ45" s="469"/>
      <c r="DK45" s="469"/>
      <c r="DL45" s="469"/>
      <c r="DM45" s="469"/>
      <c r="DN45" s="469"/>
      <c r="DO45" s="469"/>
      <c r="DP45" s="469"/>
      <c r="DQ45" s="469"/>
      <c r="DR45" s="469"/>
      <c r="DS45" s="469">
        <v>135930</v>
      </c>
      <c r="DT45" s="907">
        <f t="shared" si="6"/>
        <v>135930</v>
      </c>
    </row>
    <row r="46" spans="1:125" x14ac:dyDescent="0.2">
      <c r="A46" s="1" t="s">
        <v>2051</v>
      </c>
      <c r="B46" s="1"/>
      <c r="C46" s="44" t="s">
        <v>2058</v>
      </c>
      <c r="D46" s="44" t="s">
        <v>2060</v>
      </c>
      <c r="E46" s="1"/>
      <c r="F46" s="1"/>
      <c r="G46" s="1"/>
      <c r="H46" s="1"/>
      <c r="I46" s="1"/>
      <c r="J46" s="46"/>
      <c r="K46" s="46"/>
      <c r="L46" s="892"/>
      <c r="M46" s="243"/>
      <c r="N46" s="243"/>
      <c r="O46" s="243"/>
      <c r="P46" s="243"/>
      <c r="Q46" s="243"/>
      <c r="R46" s="243"/>
      <c r="S46" s="243"/>
      <c r="T46" s="243"/>
      <c r="U46" s="243"/>
      <c r="V46" s="243"/>
      <c r="W46" s="243"/>
      <c r="X46" s="243"/>
      <c r="Y46" s="243"/>
      <c r="Z46" s="243"/>
      <c r="AA46" s="243"/>
      <c r="AB46" s="243"/>
      <c r="AC46" s="243"/>
      <c r="AD46" s="243"/>
      <c r="AE46" s="243"/>
      <c r="AF46" s="243"/>
      <c r="AG46" s="243"/>
      <c r="AH46" s="243"/>
      <c r="AI46" s="243"/>
      <c r="AJ46" s="243"/>
      <c r="AK46" s="46"/>
      <c r="AL46" s="46"/>
      <c r="AM46" s="46"/>
      <c r="AN46" s="46"/>
      <c r="AO46" s="46"/>
      <c r="AP46" s="46"/>
      <c r="AQ46" s="46"/>
      <c r="AR46" s="46"/>
      <c r="AS46" s="46"/>
      <c r="AT46" s="1"/>
      <c r="AU46" s="893"/>
      <c r="AV46" s="893"/>
      <c r="AW46" s="893"/>
      <c r="AX46" s="893"/>
      <c r="AY46" s="893"/>
      <c r="AZ46" s="893"/>
      <c r="BA46" s="893"/>
      <c r="BB46" s="893"/>
      <c r="BC46" s="893"/>
      <c r="BD46" s="893"/>
      <c r="BE46" s="893"/>
      <c r="BF46" s="893"/>
      <c r="BG46" s="894"/>
      <c r="BH46" s="893"/>
      <c r="BI46" s="893"/>
      <c r="BJ46" s="893"/>
      <c r="BK46" s="893"/>
      <c r="BL46" s="893"/>
      <c r="BM46" s="893"/>
      <c r="BN46" s="893"/>
      <c r="BO46" s="893"/>
      <c r="BP46" s="893"/>
      <c r="BQ46" s="893"/>
      <c r="BR46" s="893"/>
      <c r="BS46" s="893"/>
      <c r="BT46" s="893"/>
      <c r="BU46" s="893"/>
      <c r="BV46" s="893"/>
      <c r="BW46" s="893"/>
      <c r="BX46" s="893"/>
      <c r="BY46" s="893"/>
      <c r="BZ46" s="893"/>
      <c r="CA46" s="893"/>
      <c r="CB46" s="893"/>
      <c r="CC46" s="893"/>
      <c r="CD46" s="893"/>
      <c r="CE46" s="893"/>
      <c r="CF46" s="893"/>
      <c r="CG46" s="893"/>
      <c r="CH46" s="1"/>
      <c r="CI46" s="25"/>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96">
        <f t="shared" si="6"/>
        <v>0</v>
      </c>
    </row>
    <row r="518" spans="1:7" x14ac:dyDescent="0.2">
      <c r="A518" s="900" t="s">
        <v>2069</v>
      </c>
      <c r="B518" s="900" t="s">
        <v>107</v>
      </c>
      <c r="C518" s="900" t="s">
        <v>498</v>
      </c>
      <c r="D518" s="19" t="s">
        <v>2061</v>
      </c>
      <c r="G518" s="19" t="s">
        <v>49</v>
      </c>
    </row>
    <row r="519" spans="1:7" x14ac:dyDescent="0.2">
      <c r="A519" s="900"/>
      <c r="B519" s="900"/>
      <c r="C519" s="900"/>
      <c r="D519" s="19" t="s">
        <v>1503</v>
      </c>
    </row>
    <row r="520" spans="1:7" x14ac:dyDescent="0.2">
      <c r="A520" s="900"/>
      <c r="B520" s="900"/>
      <c r="C520" s="900"/>
      <c r="D520" s="19" t="s">
        <v>2062</v>
      </c>
    </row>
    <row r="521" spans="1:7" x14ac:dyDescent="0.2">
      <c r="A521" s="900"/>
      <c r="B521" s="900"/>
      <c r="C521" s="900"/>
      <c r="D521" s="19" t="s">
        <v>617</v>
      </c>
    </row>
    <row r="522" spans="1:7" x14ac:dyDescent="0.2">
      <c r="A522" s="900"/>
      <c r="B522" s="900"/>
      <c r="C522" s="900"/>
      <c r="D522" s="19" t="s">
        <v>2063</v>
      </c>
    </row>
    <row r="523" spans="1:7" x14ac:dyDescent="0.2">
      <c r="A523" s="900"/>
      <c r="B523" s="900"/>
      <c r="C523" s="900"/>
      <c r="D523" s="19" t="s">
        <v>1497</v>
      </c>
    </row>
    <row r="524" spans="1:7" x14ac:dyDescent="0.2">
      <c r="A524" s="900"/>
      <c r="B524" s="900"/>
      <c r="C524" s="900"/>
      <c r="D524" s="19" t="s">
        <v>2064</v>
      </c>
    </row>
    <row r="525" spans="1:7" x14ac:dyDescent="0.2">
      <c r="A525" s="900"/>
      <c r="B525" s="900"/>
      <c r="C525" s="900"/>
      <c r="D525" s="19" t="s">
        <v>1732</v>
      </c>
    </row>
    <row r="526" spans="1:7" x14ac:dyDescent="0.2">
      <c r="A526" s="900"/>
      <c r="B526" s="900"/>
      <c r="C526" s="900"/>
      <c r="D526" s="19" t="s">
        <v>2065</v>
      </c>
    </row>
    <row r="527" spans="1:7" x14ac:dyDescent="0.2">
      <c r="A527" s="900"/>
      <c r="B527" s="900"/>
      <c r="C527" s="900"/>
      <c r="D527" s="19" t="s">
        <v>2066</v>
      </c>
    </row>
    <row r="528" spans="1:7" x14ac:dyDescent="0.2">
      <c r="A528" s="900"/>
      <c r="B528" s="900"/>
      <c r="C528" s="900"/>
      <c r="D528" s="19" t="s">
        <v>504</v>
      </c>
    </row>
    <row r="529" spans="1:4" x14ac:dyDescent="0.2">
      <c r="A529" s="900"/>
      <c r="B529" s="900"/>
      <c r="C529" s="900"/>
      <c r="D529" s="19" t="s">
        <v>1235</v>
      </c>
    </row>
    <row r="530" spans="1:4" x14ac:dyDescent="0.2">
      <c r="A530" s="900"/>
      <c r="B530" s="900"/>
      <c r="C530" s="900"/>
      <c r="D530" s="19" t="s">
        <v>2067</v>
      </c>
    </row>
    <row r="531" spans="1:4" x14ac:dyDescent="0.2">
      <c r="A531" s="900"/>
      <c r="B531" s="900"/>
      <c r="C531" s="900"/>
      <c r="D531" s="19" t="s">
        <v>2068</v>
      </c>
    </row>
  </sheetData>
  <mergeCells count="29">
    <mergeCell ref="C518:C531"/>
    <mergeCell ref="B518:B531"/>
    <mergeCell ref="A518:A531"/>
    <mergeCell ref="D9:D10"/>
    <mergeCell ref="C9:C10"/>
    <mergeCell ref="B9:B10"/>
    <mergeCell ref="A9:A10"/>
    <mergeCell ref="F5:F6"/>
    <mergeCell ref="D5:D6"/>
    <mergeCell ref="C5:C6"/>
    <mergeCell ref="A5:A6"/>
    <mergeCell ref="B5:B6"/>
    <mergeCell ref="A7:D7"/>
    <mergeCell ref="M1:P1"/>
    <mergeCell ref="Q1:T1"/>
    <mergeCell ref="U1:X1"/>
    <mergeCell ref="A3:A4"/>
    <mergeCell ref="B3:B4"/>
    <mergeCell ref="C3:C4"/>
    <mergeCell ref="D3:D4"/>
    <mergeCell ref="F3:F4"/>
    <mergeCell ref="G3:G4"/>
    <mergeCell ref="H3:H4"/>
    <mergeCell ref="I3:I4"/>
    <mergeCell ref="BU1:CG1"/>
    <mergeCell ref="BH1:BT1"/>
    <mergeCell ref="AU1:BG1"/>
    <mergeCell ref="CH1:CT1"/>
    <mergeCell ref="Y1:AB1"/>
  </mergeCells>
  <phoneticPr fontId="16" type="noConversion"/>
  <pageMargins left="0.7" right="0.7" top="0.75" bottom="0.75" header="0.3" footer="0.3"/>
  <pageSetup paperSize="8" scale="10" fitToHeight="0"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B3700-B837-4861-B3A8-3AF2AE5D2DAE}">
  <sheetPr>
    <pageSetUpPr fitToPage="1"/>
  </sheetPr>
  <dimension ref="A1:DT533"/>
  <sheetViews>
    <sheetView zoomScale="66" zoomScaleNormal="96" workbookViewId="0">
      <pane ySplit="2" topLeftCell="A3" activePane="bottomLeft" state="frozen"/>
      <selection activeCell="C6" sqref="C6:C11"/>
      <selection pane="bottomLeft"/>
    </sheetView>
  </sheetViews>
  <sheetFormatPr defaultColWidth="9.140625" defaultRowHeight="12" x14ac:dyDescent="0.2"/>
  <cols>
    <col min="1" max="1" width="26" style="19" customWidth="1"/>
    <col min="2" max="2" width="33.5703125" style="19" bestFit="1" customWidth="1"/>
    <col min="3" max="3" width="146.42578125" style="19" customWidth="1"/>
    <col min="4" max="5" width="44.42578125" style="19" customWidth="1"/>
    <col min="6" max="6" width="24.140625" style="19" customWidth="1"/>
    <col min="7" max="7" width="27.28515625" style="19" customWidth="1"/>
    <col min="8" max="8" width="42.42578125" style="19" customWidth="1"/>
    <col min="9" max="9" width="50.7109375" style="19" customWidth="1"/>
    <col min="10" max="10" width="23" style="19" customWidth="1"/>
    <col min="11" max="11" width="21.28515625" style="19" customWidth="1"/>
    <col min="12" max="12" width="30.140625" style="232" customWidth="1"/>
    <col min="13" max="13" width="31.28515625" style="232" customWidth="1"/>
    <col min="14" max="14" width="21.28515625" style="232" customWidth="1"/>
    <col min="15" max="15" width="31.28515625" style="232" customWidth="1"/>
    <col min="16" max="16" width="28.140625" style="376" customWidth="1"/>
    <col min="17" max="17" width="21.28515625" style="232" customWidth="1"/>
    <col min="18" max="19" width="31.28515625" style="232" customWidth="1"/>
    <col min="20" max="20" width="21.28515625" style="232" customWidth="1"/>
    <col min="21" max="25" width="31.28515625" style="232" customWidth="1"/>
    <col min="26" max="26" width="20.28515625" style="232" customWidth="1"/>
    <col min="27" max="27" width="19.7109375" style="232" customWidth="1"/>
    <col min="28" max="28" width="18.7109375" style="232" customWidth="1"/>
    <col min="29" max="29" width="21.5703125" style="232" customWidth="1"/>
    <col min="30" max="30" width="24.85546875" style="232" customWidth="1"/>
    <col min="31" max="33" width="21.5703125" style="232" customWidth="1"/>
    <col min="34" max="34" width="18.7109375" style="19" customWidth="1"/>
    <col min="35" max="35" width="17" style="38" hidden="1" customWidth="1"/>
    <col min="36" max="38" width="17.5703125" style="38" hidden="1" customWidth="1"/>
    <col min="39" max="40" width="19.85546875" style="38" hidden="1" customWidth="1"/>
    <col min="41" max="41" width="16.28515625" style="38" hidden="1" customWidth="1"/>
    <col min="42" max="42" width="16.5703125" style="38" hidden="1" customWidth="1"/>
    <col min="43" max="43" width="63.28515625" style="19" hidden="1" customWidth="1"/>
    <col min="44" max="44" width="12" style="233" hidden="1" customWidth="1"/>
    <col min="45" max="45" width="14.42578125" style="213" hidden="1" customWidth="1"/>
    <col min="46" max="46" width="17.7109375" style="213" hidden="1" customWidth="1"/>
    <col min="47" max="47" width="15.5703125" style="213" hidden="1" customWidth="1"/>
    <col min="48" max="49" width="17.28515625" style="213" hidden="1" customWidth="1"/>
    <col min="50" max="50" width="15.42578125" style="213" hidden="1" customWidth="1"/>
    <col min="51" max="51" width="13.140625" style="213" hidden="1" customWidth="1"/>
    <col min="52" max="52" width="11.140625" style="213" hidden="1" customWidth="1"/>
    <col min="53" max="54" width="10.85546875" style="213" hidden="1" customWidth="1"/>
    <col min="55" max="55" width="9.140625" style="213" hidden="1" customWidth="1"/>
    <col min="56" max="56" width="12" style="214" hidden="1" customWidth="1"/>
    <col min="57" max="57" width="11.85546875" style="213" hidden="1" customWidth="1"/>
    <col min="58" max="58" width="14.42578125" style="213" hidden="1" customWidth="1"/>
    <col min="59" max="59" width="17.7109375" style="213" hidden="1" customWidth="1"/>
    <col min="60" max="60" width="15.5703125" style="213" hidden="1" customWidth="1"/>
    <col min="61" max="62" width="17.28515625" style="213" hidden="1" customWidth="1"/>
    <col min="63" max="63" width="15.42578125" style="213" hidden="1" customWidth="1"/>
    <col min="64" max="64" width="13.140625" style="213" hidden="1" customWidth="1"/>
    <col min="65" max="65" width="12" style="213" hidden="1" customWidth="1"/>
    <col min="66" max="66" width="13.7109375" style="213" hidden="1" customWidth="1"/>
    <col min="67" max="68" width="12" style="213" hidden="1" customWidth="1"/>
    <col min="69" max="69" width="14" style="63" hidden="1" customWidth="1"/>
    <col min="70" max="70" width="14" style="213" hidden="1" customWidth="1"/>
    <col min="71" max="73" width="13.7109375" style="213" hidden="1" customWidth="1"/>
    <col min="74" max="74" width="12" style="213" hidden="1" customWidth="1"/>
    <col min="75" max="75" width="13.7109375" style="213" hidden="1" customWidth="1"/>
    <col min="76" max="76" width="11.28515625" style="213" hidden="1" customWidth="1"/>
    <col min="77" max="78" width="12" style="213" hidden="1" customWidth="1"/>
    <col min="79" max="81" width="13.7109375" style="213" hidden="1" customWidth="1"/>
    <col min="82" max="82" width="14.85546875" style="213" hidden="1" customWidth="1"/>
    <col min="83" max="85" width="12.7109375" style="19" hidden="1" customWidth="1"/>
    <col min="86" max="87" width="12.42578125" style="19" hidden="1" customWidth="1"/>
    <col min="88" max="89" width="11.7109375" style="19" hidden="1" customWidth="1"/>
    <col min="90" max="90" width="12.28515625" style="19" hidden="1" customWidth="1"/>
    <col min="91" max="91" width="10" style="19" hidden="1" customWidth="1"/>
    <col min="92" max="92" width="9.140625" style="19" hidden="1" customWidth="1"/>
    <col min="93" max="93" width="10.28515625" style="19" hidden="1" customWidth="1"/>
    <col min="94" max="94" width="11.42578125" style="19" hidden="1" customWidth="1"/>
    <col min="95" max="95" width="13.140625" style="19" hidden="1" customWidth="1"/>
    <col min="96" max="100" width="9.140625" style="19" hidden="1" customWidth="1"/>
    <col min="101" max="101" width="12.42578125" style="19" hidden="1" customWidth="1"/>
    <col min="102" max="102" width="9.140625" style="19" hidden="1" customWidth="1"/>
    <col min="103" max="103" width="11.5703125" style="19" hidden="1" customWidth="1"/>
    <col min="104" max="104" width="14.7109375" style="19" hidden="1" customWidth="1"/>
    <col min="105" max="105" width="14.42578125" style="19" hidden="1" customWidth="1"/>
    <col min="106" max="107" width="9.140625" style="19" hidden="1" customWidth="1"/>
    <col min="108" max="108" width="13.28515625" style="19" hidden="1" customWidth="1"/>
    <col min="109" max="16384" width="9.140625" style="19"/>
  </cols>
  <sheetData>
    <row r="1" spans="1:121" ht="12.75" thickBot="1" x14ac:dyDescent="0.25">
      <c r="M1" s="834" t="s">
        <v>0</v>
      </c>
      <c r="N1" s="835"/>
      <c r="O1" s="836"/>
      <c r="P1" s="837" t="s">
        <v>1</v>
      </c>
      <c r="Q1" s="838"/>
      <c r="R1" s="839"/>
      <c r="S1" s="837" t="s">
        <v>2</v>
      </c>
      <c r="T1" s="838"/>
      <c r="U1" s="839"/>
      <c r="V1" s="849" t="s">
        <v>1329</v>
      </c>
      <c r="W1" s="850"/>
      <c r="X1" s="850"/>
      <c r="Y1" s="361"/>
      <c r="Z1" s="361"/>
      <c r="AA1" s="361"/>
      <c r="AB1" s="361"/>
      <c r="AC1" s="361"/>
      <c r="AD1" s="361"/>
      <c r="AE1" s="361"/>
      <c r="AF1" s="361"/>
      <c r="AG1" s="361"/>
      <c r="AR1" s="377" t="s">
        <v>0</v>
      </c>
      <c r="AS1" s="377"/>
      <c r="AT1" s="377"/>
      <c r="AU1" s="377"/>
      <c r="AV1" s="377"/>
      <c r="AW1" s="377"/>
      <c r="AX1" s="377"/>
      <c r="AY1" s="377"/>
      <c r="AZ1" s="377"/>
      <c r="BA1" s="377"/>
      <c r="BB1" s="377"/>
      <c r="BC1" s="377"/>
      <c r="BD1" s="377"/>
      <c r="BE1" s="378" t="s">
        <v>1</v>
      </c>
      <c r="BF1" s="378"/>
      <c r="BG1" s="378"/>
      <c r="BH1" s="378"/>
      <c r="BI1" s="378"/>
      <c r="BJ1" s="378"/>
      <c r="BK1" s="378"/>
      <c r="BL1" s="378"/>
      <c r="BM1" s="378"/>
      <c r="BN1" s="378"/>
      <c r="BO1" s="378"/>
      <c r="BP1" s="378"/>
      <c r="BQ1" s="378"/>
      <c r="BR1" s="799" t="s">
        <v>2</v>
      </c>
      <c r="BS1" s="799"/>
      <c r="BT1" s="799"/>
      <c r="BU1" s="799"/>
      <c r="BV1" s="799"/>
      <c r="BW1" s="799"/>
      <c r="BX1" s="799"/>
      <c r="BY1" s="799"/>
      <c r="BZ1" s="799"/>
      <c r="CA1" s="799"/>
      <c r="CB1" s="799"/>
      <c r="CC1" s="799"/>
      <c r="CD1" s="799"/>
      <c r="CE1" s="802" t="s">
        <v>1329</v>
      </c>
      <c r="CF1" s="802"/>
      <c r="CG1" s="802"/>
      <c r="CH1" s="802"/>
      <c r="CI1" s="802"/>
      <c r="CJ1" s="802"/>
      <c r="CK1" s="802"/>
      <c r="CL1" s="802"/>
      <c r="CM1" s="802"/>
      <c r="CN1" s="802"/>
      <c r="CO1" s="802"/>
      <c r="CP1" s="802"/>
      <c r="CQ1" s="802"/>
      <c r="CV1" s="134"/>
      <c r="CW1" s="134"/>
      <c r="CX1" s="134" t="s">
        <v>1522</v>
      </c>
    </row>
    <row r="2" spans="1:121" ht="48.75" thickBot="1" x14ac:dyDescent="0.25">
      <c r="A2" s="71" t="s">
        <v>3</v>
      </c>
      <c r="B2" s="72" t="s">
        <v>4</v>
      </c>
      <c r="C2" s="72" t="s">
        <v>5</v>
      </c>
      <c r="D2" s="72" t="s">
        <v>6</v>
      </c>
      <c r="E2" s="72"/>
      <c r="F2" s="72" t="s">
        <v>7</v>
      </c>
      <c r="G2" s="72" t="s">
        <v>8</v>
      </c>
      <c r="H2" s="72" t="s">
        <v>9</v>
      </c>
      <c r="I2" s="72" t="s">
        <v>10</v>
      </c>
      <c r="J2" s="73" t="s">
        <v>11</v>
      </c>
      <c r="K2" s="73" t="s">
        <v>12</v>
      </c>
      <c r="L2" s="190" t="s">
        <v>13</v>
      </c>
      <c r="M2" s="186" t="s">
        <v>1319</v>
      </c>
      <c r="N2" s="187" t="s">
        <v>1318</v>
      </c>
      <c r="O2" s="188" t="s">
        <v>1317</v>
      </c>
      <c r="P2" s="186" t="s">
        <v>1320</v>
      </c>
      <c r="Q2" s="187" t="s">
        <v>1321</v>
      </c>
      <c r="R2" s="188" t="s">
        <v>1322</v>
      </c>
      <c r="S2" s="186" t="s">
        <v>1324</v>
      </c>
      <c r="T2" s="187" t="s">
        <v>1325</v>
      </c>
      <c r="U2" s="188" t="s">
        <v>1326</v>
      </c>
      <c r="V2" s="186" t="s">
        <v>1331</v>
      </c>
      <c r="W2" s="187" t="s">
        <v>1332</v>
      </c>
      <c r="X2" s="188" t="s">
        <v>1333</v>
      </c>
      <c r="Y2" s="372" t="s">
        <v>1622</v>
      </c>
      <c r="Z2" s="217" t="s">
        <v>1518</v>
      </c>
      <c r="AA2" s="218" t="s">
        <v>1519</v>
      </c>
      <c r="AB2" s="218" t="s">
        <v>1520</v>
      </c>
      <c r="AC2" s="219" t="s">
        <v>1521</v>
      </c>
      <c r="AD2" s="217" t="s">
        <v>1989</v>
      </c>
      <c r="AE2" s="218" t="s">
        <v>1990</v>
      </c>
      <c r="AF2" s="218" t="s">
        <v>1991</v>
      </c>
      <c r="AG2" s="219" t="s">
        <v>1992</v>
      </c>
      <c r="AH2" s="189" t="s">
        <v>21</v>
      </c>
      <c r="AI2" s="78" t="s">
        <v>22</v>
      </c>
      <c r="AJ2" s="79" t="s">
        <v>23</v>
      </c>
      <c r="AK2" s="79" t="s">
        <v>24</v>
      </c>
      <c r="AL2" s="80" t="s">
        <v>25</v>
      </c>
      <c r="AM2" s="73" t="s">
        <v>26</v>
      </c>
      <c r="AN2" s="81" t="s">
        <v>27</v>
      </c>
      <c r="AO2" s="72" t="s">
        <v>28</v>
      </c>
      <c r="AP2" s="74" t="s">
        <v>29</v>
      </c>
      <c r="AQ2" s="74" t="s">
        <v>30</v>
      </c>
      <c r="AR2" s="175" t="s">
        <v>31</v>
      </c>
      <c r="AS2" s="175" t="s">
        <v>32</v>
      </c>
      <c r="AT2" s="175" t="s">
        <v>33</v>
      </c>
      <c r="AU2" s="175" t="s">
        <v>34</v>
      </c>
      <c r="AV2" s="175" t="s">
        <v>35</v>
      </c>
      <c r="AW2" s="175" t="s">
        <v>36</v>
      </c>
      <c r="AX2" s="175" t="s">
        <v>37</v>
      </c>
      <c r="AY2" s="176" t="s">
        <v>38</v>
      </c>
      <c r="AZ2" s="176" t="s">
        <v>39</v>
      </c>
      <c r="BA2" s="176" t="s">
        <v>40</v>
      </c>
      <c r="BB2" s="176" t="s">
        <v>41</v>
      </c>
      <c r="BC2" s="176" t="s">
        <v>42</v>
      </c>
      <c r="BD2" s="177" t="s">
        <v>487</v>
      </c>
      <c r="BE2" s="175" t="s">
        <v>31</v>
      </c>
      <c r="BF2" s="175" t="s">
        <v>32</v>
      </c>
      <c r="BG2" s="175" t="s">
        <v>33</v>
      </c>
      <c r="BH2" s="175" t="s">
        <v>34</v>
      </c>
      <c r="BI2" s="175" t="s">
        <v>35</v>
      </c>
      <c r="BJ2" s="175" t="s">
        <v>36</v>
      </c>
      <c r="BK2" s="175" t="s">
        <v>37</v>
      </c>
      <c r="BL2" s="176" t="s">
        <v>38</v>
      </c>
      <c r="BM2" s="176" t="s">
        <v>39</v>
      </c>
      <c r="BN2" s="176" t="s">
        <v>40</v>
      </c>
      <c r="BO2" s="176" t="s">
        <v>41</v>
      </c>
      <c r="BP2" s="176" t="s">
        <v>42</v>
      </c>
      <c r="BQ2" s="178" t="s">
        <v>487</v>
      </c>
      <c r="BR2" s="175" t="s">
        <v>31</v>
      </c>
      <c r="BS2" s="175" t="s">
        <v>32</v>
      </c>
      <c r="BT2" s="175" t="s">
        <v>33</v>
      </c>
      <c r="BU2" s="175" t="s">
        <v>34</v>
      </c>
      <c r="BV2" s="175" t="s">
        <v>35</v>
      </c>
      <c r="BW2" s="175" t="s">
        <v>36</v>
      </c>
      <c r="BX2" s="175" t="s">
        <v>37</v>
      </c>
      <c r="BY2" s="176" t="s">
        <v>38</v>
      </c>
      <c r="BZ2" s="176" t="s">
        <v>39</v>
      </c>
      <c r="CA2" s="176" t="s">
        <v>40</v>
      </c>
      <c r="CB2" s="176" t="s">
        <v>41</v>
      </c>
      <c r="CC2" s="176" t="s">
        <v>42</v>
      </c>
      <c r="CD2" s="179" t="s">
        <v>487</v>
      </c>
      <c r="CE2" s="236" t="s">
        <v>31</v>
      </c>
      <c r="CF2" s="236" t="s">
        <v>32</v>
      </c>
      <c r="CG2" s="236" t="s">
        <v>33</v>
      </c>
      <c r="CH2" s="236" t="s">
        <v>34</v>
      </c>
      <c r="CI2" s="236" t="s">
        <v>35</v>
      </c>
      <c r="CJ2" s="236" t="s">
        <v>36</v>
      </c>
      <c r="CK2" s="236" t="s">
        <v>37</v>
      </c>
      <c r="CL2" s="237" t="s">
        <v>38</v>
      </c>
      <c r="CM2" s="237" t="s">
        <v>39</v>
      </c>
      <c r="CN2" s="237" t="s">
        <v>40</v>
      </c>
      <c r="CO2" s="237" t="s">
        <v>41</v>
      </c>
      <c r="CP2" s="237" t="s">
        <v>42</v>
      </c>
      <c r="CQ2" s="367" t="s">
        <v>487</v>
      </c>
      <c r="CR2" s="17" t="s">
        <v>31</v>
      </c>
      <c r="CS2" s="17" t="s">
        <v>32</v>
      </c>
      <c r="CT2" s="17" t="s">
        <v>33</v>
      </c>
      <c r="CU2" s="17" t="s">
        <v>34</v>
      </c>
      <c r="CV2" s="17" t="s">
        <v>35</v>
      </c>
      <c r="CW2" s="17" t="s">
        <v>36</v>
      </c>
      <c r="CX2" s="17" t="s">
        <v>37</v>
      </c>
      <c r="CY2" s="17" t="s">
        <v>38</v>
      </c>
      <c r="CZ2" s="17" t="s">
        <v>39</v>
      </c>
      <c r="DA2" s="17" t="s">
        <v>40</v>
      </c>
      <c r="DB2" s="17" t="s">
        <v>41</v>
      </c>
      <c r="DC2" s="17" t="s">
        <v>42</v>
      </c>
      <c r="DD2" s="370" t="s">
        <v>487</v>
      </c>
      <c r="DE2" s="1" t="s">
        <v>31</v>
      </c>
      <c r="DF2" s="1" t="s">
        <v>32</v>
      </c>
      <c r="DG2" s="1" t="s">
        <v>33</v>
      </c>
      <c r="DH2" s="1" t="s">
        <v>34</v>
      </c>
      <c r="DI2" s="1" t="s">
        <v>35</v>
      </c>
      <c r="DJ2" s="1" t="s">
        <v>36</v>
      </c>
      <c r="DK2" s="1" t="s">
        <v>37</v>
      </c>
      <c r="DL2" s="1" t="s">
        <v>38</v>
      </c>
      <c r="DM2" s="1" t="s">
        <v>39</v>
      </c>
      <c r="DN2" s="1" t="s">
        <v>40</v>
      </c>
      <c r="DO2" s="1" t="s">
        <v>1873</v>
      </c>
      <c r="DP2" s="1" t="s">
        <v>42</v>
      </c>
      <c r="DQ2" s="1" t="s">
        <v>487</v>
      </c>
    </row>
    <row r="3" spans="1:121" x14ac:dyDescent="0.2">
      <c r="A3" s="359"/>
      <c r="B3" s="359"/>
      <c r="C3" s="412" t="s">
        <v>2</v>
      </c>
      <c r="D3" s="359"/>
      <c r="E3" s="359"/>
      <c r="F3" s="359"/>
      <c r="G3" s="359"/>
      <c r="H3" s="359"/>
      <c r="I3" s="359"/>
      <c r="J3" s="359"/>
      <c r="K3" s="359"/>
      <c r="L3" s="444"/>
      <c r="M3" s="444"/>
      <c r="N3" s="444"/>
      <c r="O3" s="444"/>
      <c r="P3" s="445"/>
      <c r="Q3" s="444"/>
      <c r="R3" s="444"/>
      <c r="S3" s="444"/>
      <c r="T3" s="444"/>
      <c r="U3" s="444"/>
      <c r="V3" s="444"/>
      <c r="W3" s="444"/>
      <c r="X3" s="444"/>
      <c r="Y3" s="444"/>
      <c r="Z3" s="444"/>
      <c r="AA3" s="444"/>
      <c r="AB3" s="444"/>
      <c r="AC3" s="444"/>
      <c r="AD3" s="444"/>
      <c r="AE3" s="444"/>
      <c r="AF3" s="444"/>
      <c r="AG3" s="444"/>
      <c r="AH3" s="359"/>
      <c r="AI3" s="403"/>
      <c r="AJ3" s="403"/>
      <c r="AK3" s="403"/>
      <c r="AL3" s="403"/>
      <c r="AM3" s="403"/>
      <c r="AN3" s="403"/>
      <c r="AO3" s="403"/>
      <c r="AP3" s="403"/>
      <c r="AQ3" s="359"/>
      <c r="AR3" s="446"/>
      <c r="AS3" s="409"/>
      <c r="AT3" s="409"/>
      <c r="AU3" s="409"/>
      <c r="AV3" s="409"/>
      <c r="AW3" s="409"/>
      <c r="AX3" s="409"/>
      <c r="AY3" s="409"/>
      <c r="AZ3" s="409"/>
      <c r="BA3" s="409"/>
      <c r="BB3" s="409"/>
      <c r="BC3" s="409"/>
      <c r="BD3" s="417"/>
      <c r="BE3" s="409"/>
      <c r="BF3" s="409"/>
      <c r="BG3" s="409"/>
      <c r="BH3" s="409"/>
      <c r="BI3" s="409"/>
      <c r="BJ3" s="409"/>
      <c r="BK3" s="409"/>
      <c r="BL3" s="409"/>
      <c r="BM3" s="409"/>
      <c r="BN3" s="409"/>
      <c r="BO3" s="409"/>
      <c r="BP3" s="409"/>
      <c r="BQ3" s="411"/>
      <c r="BR3" s="409"/>
      <c r="BS3" s="409"/>
      <c r="BT3" s="409"/>
      <c r="BU3" s="409"/>
      <c r="BV3" s="409"/>
      <c r="BW3" s="409"/>
      <c r="BX3" s="409"/>
      <c r="BY3" s="409"/>
      <c r="BZ3" s="409"/>
      <c r="CA3" s="409"/>
      <c r="CB3" s="409"/>
      <c r="CC3" s="409"/>
      <c r="CD3" s="409"/>
      <c r="CE3" s="359"/>
      <c r="CF3" s="359"/>
      <c r="CG3" s="359"/>
      <c r="CH3" s="359"/>
      <c r="CI3" s="359"/>
      <c r="CJ3" s="359"/>
      <c r="CK3" s="359"/>
      <c r="CL3" s="359"/>
      <c r="CM3" s="359"/>
      <c r="CN3" s="359"/>
      <c r="CO3" s="359"/>
      <c r="CP3" s="359"/>
      <c r="CQ3" s="359"/>
      <c r="CR3" s="331"/>
      <c r="CS3" s="331"/>
      <c r="CT3" s="331"/>
      <c r="CU3" s="331"/>
      <c r="CV3" s="331"/>
      <c r="CW3" s="331"/>
      <c r="CX3" s="331"/>
      <c r="CY3" s="331"/>
      <c r="CZ3" s="331"/>
      <c r="DA3" s="331"/>
      <c r="DB3" s="331"/>
      <c r="DC3" s="331"/>
      <c r="DD3" s="331">
        <f t="shared" ref="DD3:DD34" si="0">SUM(CR3:DC3)</f>
        <v>0</v>
      </c>
      <c r="DE3" s="1"/>
      <c r="DF3" s="1"/>
      <c r="DG3" s="1"/>
      <c r="DH3" s="1"/>
      <c r="DI3" s="1"/>
      <c r="DJ3" s="1"/>
      <c r="DK3" s="1"/>
      <c r="DL3" s="1"/>
      <c r="DM3" s="1"/>
      <c r="DN3" s="1"/>
      <c r="DO3" s="1"/>
      <c r="DP3" s="1"/>
      <c r="DQ3" s="1"/>
    </row>
    <row r="4" spans="1:121" s="624" customFormat="1" ht="48" x14ac:dyDescent="0.2">
      <c r="A4" s="469" t="s">
        <v>494</v>
      </c>
      <c r="B4" s="608" t="s">
        <v>107</v>
      </c>
      <c r="C4" s="469" t="s">
        <v>495</v>
      </c>
      <c r="D4" s="469" t="s">
        <v>1393</v>
      </c>
      <c r="E4" s="469"/>
      <c r="F4" s="469" t="s">
        <v>496</v>
      </c>
      <c r="G4" s="469" t="s">
        <v>49</v>
      </c>
      <c r="H4" s="608" t="s">
        <v>328</v>
      </c>
      <c r="I4" s="469" t="s">
        <v>329</v>
      </c>
      <c r="J4" s="910"/>
      <c r="K4" s="609">
        <v>45137</v>
      </c>
      <c r="L4" s="925" t="s">
        <v>493</v>
      </c>
      <c r="M4" s="926"/>
      <c r="N4" s="547">
        <f t="shared" ref="N4:N35" si="1">BD4</f>
        <v>698238.04999999993</v>
      </c>
      <c r="O4" s="927">
        <f t="shared" ref="O4:O35" si="2">N4+M4</f>
        <v>698238.04999999993</v>
      </c>
      <c r="P4" s="622">
        <f t="shared" ref="P4:P35" si="3">O4</f>
        <v>698238.04999999993</v>
      </c>
      <c r="Q4" s="547" t="e">
        <f t="shared" ref="Q4:Q35" si="4">BQ4</f>
        <v>#REF!</v>
      </c>
      <c r="R4" s="927" t="e">
        <f t="shared" ref="R4:R19" si="5">P4+Q4</f>
        <v>#REF!</v>
      </c>
      <c r="S4" s="622" t="e">
        <f t="shared" ref="S4:S19" si="6">R4</f>
        <v>#REF!</v>
      </c>
      <c r="T4" s="547">
        <f t="shared" ref="T4:T35" si="7">CD4</f>
        <v>401146.25</v>
      </c>
      <c r="U4" s="928" t="e">
        <f t="shared" ref="U4:U35" si="8">S4+T4</f>
        <v>#REF!</v>
      </c>
      <c r="V4" s="547"/>
      <c r="W4" s="547">
        <f t="shared" ref="W4:W20" si="9">CQ4</f>
        <v>3833304.4499999993</v>
      </c>
      <c r="X4" s="547">
        <f t="shared" ref="X4:X20" si="10">V4+W4</f>
        <v>3833304.4499999993</v>
      </c>
      <c r="Y4" s="929" t="e">
        <f t="shared" ref="Y4:Y35" si="11">L4-X4</f>
        <v>#VALUE!</v>
      </c>
      <c r="Z4" s="930">
        <f t="shared" ref="Z4:Z35" si="12">X4</f>
        <v>3833304.4499999993</v>
      </c>
      <c r="AA4" s="930">
        <f t="shared" ref="AA4:AA35" si="13">DD4</f>
        <v>2709076.5524999998</v>
      </c>
      <c r="AB4" s="930">
        <f t="shared" ref="AB4:AB35" si="14">Z4+AA4</f>
        <v>6542381.0024999995</v>
      </c>
      <c r="AC4" s="929" t="e">
        <f>L4-AB4</f>
        <v>#VALUE!</v>
      </c>
      <c r="AD4" s="929">
        <f>AB4</f>
        <v>6542381.0024999995</v>
      </c>
      <c r="AE4" s="931">
        <f>DQ4</f>
        <v>2966678.84</v>
      </c>
      <c r="AF4" s="929">
        <f>AD4+AE4</f>
        <v>9509059.8424999993</v>
      </c>
      <c r="AG4" s="929" t="e">
        <f>L4-AF4</f>
        <v>#VALUE!</v>
      </c>
      <c r="AH4" s="616">
        <v>0</v>
      </c>
      <c r="AI4" s="932">
        <v>36</v>
      </c>
      <c r="AJ4" s="617" t="s">
        <v>1304</v>
      </c>
      <c r="AK4" s="617">
        <v>0</v>
      </c>
      <c r="AL4" s="617">
        <v>0</v>
      </c>
      <c r="AM4" s="617" t="s">
        <v>53</v>
      </c>
      <c r="AN4" s="617" t="s">
        <v>53</v>
      </c>
      <c r="AO4" s="617" t="s">
        <v>53</v>
      </c>
      <c r="AP4" s="617" t="s">
        <v>54</v>
      </c>
      <c r="AQ4" s="608" t="s">
        <v>70</v>
      </c>
      <c r="AR4" s="618">
        <f>1960.75+314023.23</f>
        <v>315983.98</v>
      </c>
      <c r="AS4" s="618">
        <v>1960.75</v>
      </c>
      <c r="AT4" s="618">
        <v>17865.509999999998</v>
      </c>
      <c r="AU4" s="618"/>
      <c r="AV4" s="618">
        <v>1960.75</v>
      </c>
      <c r="AW4" s="618"/>
      <c r="AX4" s="618">
        <v>1960.75</v>
      </c>
      <c r="AY4" s="618">
        <f>1960.75+55526.36+166866.85</f>
        <v>224353.96000000002</v>
      </c>
      <c r="AZ4" s="618">
        <f>1960.75+89611.7</f>
        <v>91572.45</v>
      </c>
      <c r="BA4" s="618">
        <v>42579.9</v>
      </c>
      <c r="BB4" s="618"/>
      <c r="BC4" s="618"/>
      <c r="BD4" s="620">
        <f>SUM(AR4:BC4)</f>
        <v>698238.04999999993</v>
      </c>
      <c r="BE4" s="547"/>
      <c r="BF4" s="547"/>
      <c r="BG4" s="547"/>
      <c r="BH4" s="547"/>
      <c r="BI4" s="547"/>
      <c r="BJ4" s="547"/>
      <c r="BK4" s="547"/>
      <c r="BL4" s="547"/>
      <c r="BM4" s="547"/>
      <c r="BN4" s="547"/>
      <c r="BO4" s="547"/>
      <c r="BP4" s="547"/>
      <c r="BQ4" s="634" t="e">
        <f>#REF!</f>
        <v>#REF!</v>
      </c>
      <c r="BR4" s="547"/>
      <c r="BS4" s="547"/>
      <c r="BT4" s="547"/>
      <c r="BU4" s="618"/>
      <c r="BV4" s="618"/>
      <c r="BW4" s="618"/>
      <c r="BX4" s="618"/>
      <c r="BY4" s="618"/>
      <c r="BZ4" s="618"/>
      <c r="CA4" s="618"/>
      <c r="CB4" s="618"/>
      <c r="CC4" s="618">
        <f>13225+76489.36+311431.89</f>
        <v>401146.25</v>
      </c>
      <c r="CD4" s="547">
        <f t="shared" ref="CD4:CD20" si="15">SUM(BR4:CC4)</f>
        <v>401146.25</v>
      </c>
      <c r="CE4" s="933">
        <f>429534.75+72548.18+48875</f>
        <v>550957.92999999993</v>
      </c>
      <c r="CF4" s="547">
        <f>48875+72548.18+397118</f>
        <v>518541.18</v>
      </c>
      <c r="CG4" s="547">
        <f>467992.48+48875+72548.18</f>
        <v>589415.65999999992</v>
      </c>
      <c r="CH4" s="547">
        <f>72548.18+373827.44+7187.5</f>
        <v>453563.12</v>
      </c>
      <c r="CI4" s="547">
        <f>365430.14+72548.18</f>
        <v>437978.32</v>
      </c>
      <c r="CJ4" s="547">
        <f>72548.17+252915.15</f>
        <v>325463.32</v>
      </c>
      <c r="CK4" s="547">
        <f>15812.5+307744.72</f>
        <v>323557.21999999997</v>
      </c>
      <c r="CL4" s="547">
        <f>72548.18+5750+234972.01</f>
        <v>313270.19</v>
      </c>
      <c r="CM4" s="547"/>
      <c r="CN4" s="547"/>
      <c r="CO4" s="547"/>
      <c r="CP4" s="547">
        <f>10062.5+72548.18+237946.83</f>
        <v>320557.51</v>
      </c>
      <c r="CQ4" s="928">
        <f t="shared" ref="CQ4:CQ20" si="16">SUM(CE4:CP4)</f>
        <v>3833304.4499999993</v>
      </c>
      <c r="CR4" s="469">
        <v>957635.95</v>
      </c>
      <c r="CS4" s="469">
        <f>254823.555+14375</f>
        <v>269198.55499999999</v>
      </c>
      <c r="CT4" s="469">
        <v>152808.89499999996</v>
      </c>
      <c r="CU4" s="469">
        <f>7187.5+21090.71</f>
        <v>28278.21</v>
      </c>
      <c r="CV4" s="469">
        <f>377565.1365+5750</f>
        <v>383315.13650000002</v>
      </c>
      <c r="CW4" s="469">
        <f>130624.107+119656.833</f>
        <v>250280.94</v>
      </c>
      <c r="CX4" s="469">
        <f>7187.5+10993.71</f>
        <v>18181.21</v>
      </c>
      <c r="CY4" s="469">
        <f>56670.275+1437.5</f>
        <v>58107.775000000001</v>
      </c>
      <c r="CZ4" s="469">
        <f>13429.7+2875</f>
        <v>16304.7</v>
      </c>
      <c r="DA4" s="469">
        <f>2875+40695.05</f>
        <v>43570.05</v>
      </c>
      <c r="DB4" s="469">
        <f>126512.2245+191427.6</f>
        <v>317939.82449999999</v>
      </c>
      <c r="DC4" s="469">
        <f>147551.1065+4312.5+61591.7</f>
        <v>213455.30650000001</v>
      </c>
      <c r="DD4" s="469">
        <f>SUM(CR4:DC4)</f>
        <v>2709076.5524999998</v>
      </c>
      <c r="DE4" s="469">
        <f>1034246.82+826967.27</f>
        <v>1861214.0899999999</v>
      </c>
      <c r="DF4" s="469">
        <v>227701.71</v>
      </c>
      <c r="DG4" s="469">
        <f>293700.73+4312.5+7187.5</f>
        <v>305200.73</v>
      </c>
      <c r="DH4" s="469">
        <f>35248.65+17250</f>
        <v>52498.65</v>
      </c>
      <c r="DI4" s="469">
        <f>86250+71875+5750+61675.08</f>
        <v>225550.08000000002</v>
      </c>
      <c r="DJ4" s="469">
        <f>41490.28+4312.5+2875</f>
        <v>48677.78</v>
      </c>
      <c r="DK4" s="469">
        <f>25694.45+4312.5</f>
        <v>30006.95</v>
      </c>
      <c r="DL4" s="469">
        <f>9381.7</f>
        <v>9381.7000000000007</v>
      </c>
      <c r="DM4" s="469">
        <v>23243.8</v>
      </c>
      <c r="DN4" s="469">
        <v>29686.1</v>
      </c>
      <c r="DO4" s="469">
        <f>1437.5+9247.73+18303.98</f>
        <v>28989.21</v>
      </c>
      <c r="DP4" s="469">
        <v>124528.04</v>
      </c>
      <c r="DQ4" s="469">
        <f>SUM(DE4:DP4)</f>
        <v>2966678.84</v>
      </c>
    </row>
    <row r="5" spans="1:121" ht="48" hidden="1" x14ac:dyDescent="0.2">
      <c r="A5" s="1"/>
      <c r="B5" s="1" t="s">
        <v>107</v>
      </c>
      <c r="C5" s="1" t="s">
        <v>1288</v>
      </c>
      <c r="D5" s="1" t="s">
        <v>1287</v>
      </c>
      <c r="E5" s="1"/>
      <c r="F5" s="20" t="s">
        <v>200</v>
      </c>
      <c r="G5" s="4" t="s">
        <v>49</v>
      </c>
      <c r="H5" s="1" t="s">
        <v>284</v>
      </c>
      <c r="I5" s="1" t="s">
        <v>61</v>
      </c>
      <c r="J5" s="24">
        <v>43650</v>
      </c>
      <c r="K5" s="24">
        <v>44746</v>
      </c>
      <c r="L5" s="185" t="s">
        <v>493</v>
      </c>
      <c r="M5" s="594"/>
      <c r="N5" s="42">
        <f t="shared" si="1"/>
        <v>0</v>
      </c>
      <c r="O5" s="595">
        <f t="shared" si="2"/>
        <v>0</v>
      </c>
      <c r="P5" s="241">
        <f t="shared" si="3"/>
        <v>0</v>
      </c>
      <c r="Q5" s="42">
        <f t="shared" si="4"/>
        <v>0</v>
      </c>
      <c r="R5" s="595">
        <f t="shared" si="5"/>
        <v>0</v>
      </c>
      <c r="S5" s="241">
        <f t="shared" si="6"/>
        <v>0</v>
      </c>
      <c r="T5" s="42">
        <f t="shared" si="7"/>
        <v>10648114.756999999</v>
      </c>
      <c r="U5" s="56">
        <f t="shared" si="8"/>
        <v>10648114.756999999</v>
      </c>
      <c r="V5" s="42">
        <f t="shared" ref="V5:V35" si="17">U5</f>
        <v>10648114.756999999</v>
      </c>
      <c r="W5" s="42">
        <f t="shared" si="9"/>
        <v>3511443.9299999997</v>
      </c>
      <c r="X5" s="42">
        <f t="shared" si="10"/>
        <v>14159558.686999999</v>
      </c>
      <c r="Y5" s="596" t="e">
        <f t="shared" si="11"/>
        <v>#VALUE!</v>
      </c>
      <c r="Z5" s="597">
        <f t="shared" si="12"/>
        <v>14159558.686999999</v>
      </c>
      <c r="AA5" s="597">
        <f t="shared" si="13"/>
        <v>0</v>
      </c>
      <c r="AB5" s="597">
        <f t="shared" si="14"/>
        <v>14159558.686999999</v>
      </c>
      <c r="AC5" s="596" t="e">
        <f t="shared" ref="AC5:AC35" si="18">L5-AB5</f>
        <v>#VALUE!</v>
      </c>
      <c r="AD5" s="596"/>
      <c r="AE5" s="596"/>
      <c r="AF5" s="596"/>
      <c r="AG5" s="596"/>
      <c r="AH5" s="158">
        <v>0</v>
      </c>
      <c r="AI5" s="46">
        <v>36</v>
      </c>
      <c r="AJ5" s="44" t="s">
        <v>1304</v>
      </c>
      <c r="AK5" s="44">
        <v>0</v>
      </c>
      <c r="AL5" s="44">
        <v>0</v>
      </c>
      <c r="AM5" s="44" t="s">
        <v>53</v>
      </c>
      <c r="AN5" s="44" t="s">
        <v>53</v>
      </c>
      <c r="AO5" s="44" t="s">
        <v>53</v>
      </c>
      <c r="AP5" s="44" t="s">
        <v>54</v>
      </c>
      <c r="AQ5" s="6" t="s">
        <v>1420</v>
      </c>
      <c r="AR5" s="1"/>
      <c r="AS5" s="1"/>
      <c r="AT5" s="1"/>
      <c r="AU5" s="1"/>
      <c r="AV5" s="1"/>
      <c r="AW5" s="1"/>
      <c r="AX5" s="1"/>
      <c r="AY5" s="1"/>
      <c r="AZ5" s="1"/>
      <c r="BA5" s="1"/>
      <c r="BB5" s="1"/>
      <c r="BC5" s="1"/>
      <c r="BD5" s="242"/>
      <c r="BE5" s="1"/>
      <c r="BF5" s="1"/>
      <c r="BG5" s="1"/>
      <c r="BH5" s="1"/>
      <c r="BI5" s="1"/>
      <c r="BJ5" s="1"/>
      <c r="BK5" s="1"/>
      <c r="BL5" s="1"/>
      <c r="BM5" s="1"/>
      <c r="BN5" s="1"/>
      <c r="BO5" s="1"/>
      <c r="BP5" s="1"/>
      <c r="BQ5" s="242"/>
      <c r="BR5" s="42"/>
      <c r="BS5" s="42"/>
      <c r="BT5" s="42"/>
      <c r="BU5" s="42">
        <v>1648073.3605</v>
      </c>
      <c r="BV5" s="42">
        <v>2703617.9264999996</v>
      </c>
      <c r="BW5" s="42"/>
      <c r="BX5" s="42">
        <v>1716249.7994999997</v>
      </c>
      <c r="BY5" s="42"/>
      <c r="BZ5" s="42"/>
      <c r="CA5" s="42"/>
      <c r="CB5" s="42">
        <v>2769042.0704999999</v>
      </c>
      <c r="CC5" s="42">
        <f>828096.88+983034.72</f>
        <v>1811131.6</v>
      </c>
      <c r="CD5" s="39">
        <f t="shared" si="15"/>
        <v>10648114.756999999</v>
      </c>
      <c r="CE5" s="42">
        <v>1760799.91</v>
      </c>
      <c r="CF5" s="42">
        <f>872356.44+464969.78</f>
        <v>1337326.22</v>
      </c>
      <c r="CG5" s="42"/>
      <c r="CH5" s="42"/>
      <c r="CI5" s="42"/>
      <c r="CJ5" s="42"/>
      <c r="CK5" s="42"/>
      <c r="CL5" s="42"/>
      <c r="CM5" s="42">
        <v>413317.8</v>
      </c>
      <c r="CN5" s="42"/>
      <c r="CO5" s="42"/>
      <c r="CP5" s="42"/>
      <c r="CQ5" s="56">
        <f t="shared" si="16"/>
        <v>3511443.9299999997</v>
      </c>
      <c r="CR5" s="1"/>
      <c r="CS5" s="1"/>
      <c r="CT5" s="1"/>
      <c r="CU5" s="1"/>
      <c r="CV5" s="1"/>
      <c r="CW5" s="1"/>
      <c r="CX5" s="1">
        <v>0</v>
      </c>
      <c r="CY5" s="1"/>
      <c r="CZ5" s="1"/>
      <c r="DA5" s="1"/>
      <c r="DB5" s="1"/>
      <c r="DC5" s="1"/>
      <c r="DD5" s="1">
        <f t="shared" si="0"/>
        <v>0</v>
      </c>
      <c r="DE5" s="1"/>
      <c r="DF5" s="1"/>
      <c r="DG5" s="1"/>
      <c r="DH5" s="1"/>
      <c r="DI5" s="1"/>
      <c r="DJ5" s="1"/>
      <c r="DK5" s="1"/>
      <c r="DL5" s="1"/>
      <c r="DM5" s="1"/>
      <c r="DN5" s="1"/>
      <c r="DO5" s="1"/>
      <c r="DP5" s="1"/>
      <c r="DQ5" s="1"/>
    </row>
    <row r="6" spans="1:121" ht="48" hidden="1" x14ac:dyDescent="0.2">
      <c r="A6" s="360" t="s">
        <v>409</v>
      </c>
      <c r="B6" s="383" t="s">
        <v>107</v>
      </c>
      <c r="C6" s="331" t="s">
        <v>410</v>
      </c>
      <c r="D6" s="331" t="s">
        <v>411</v>
      </c>
      <c r="E6" s="359"/>
      <c r="F6" s="359"/>
      <c r="G6" s="331" t="s">
        <v>49</v>
      </c>
      <c r="H6" s="383" t="s">
        <v>328</v>
      </c>
      <c r="I6" s="383" t="s">
        <v>51</v>
      </c>
      <c r="J6" s="70">
        <v>44151</v>
      </c>
      <c r="K6" s="70">
        <v>45246</v>
      </c>
      <c r="L6" s="447" t="s">
        <v>493</v>
      </c>
      <c r="M6" s="426"/>
      <c r="N6" s="328">
        <f t="shared" si="1"/>
        <v>0</v>
      </c>
      <c r="O6" s="449">
        <f t="shared" si="2"/>
        <v>0</v>
      </c>
      <c r="P6" s="434">
        <f t="shared" si="3"/>
        <v>0</v>
      </c>
      <c r="Q6" s="328">
        <f t="shared" si="4"/>
        <v>254815.45</v>
      </c>
      <c r="R6" s="449">
        <f t="shared" si="5"/>
        <v>254815.45</v>
      </c>
      <c r="S6" s="434">
        <f t="shared" si="6"/>
        <v>254815.45</v>
      </c>
      <c r="T6" s="328">
        <f t="shared" si="7"/>
        <v>51750</v>
      </c>
      <c r="U6" s="398">
        <f t="shared" si="8"/>
        <v>306565.45</v>
      </c>
      <c r="V6" s="328">
        <f t="shared" si="17"/>
        <v>306565.45</v>
      </c>
      <c r="W6" s="328">
        <f t="shared" si="9"/>
        <v>224250</v>
      </c>
      <c r="X6" s="328">
        <f t="shared" si="10"/>
        <v>530815.44999999995</v>
      </c>
      <c r="Y6" s="450" t="e">
        <f t="shared" si="11"/>
        <v>#VALUE!</v>
      </c>
      <c r="Z6" s="451">
        <f t="shared" si="12"/>
        <v>530815.44999999995</v>
      </c>
      <c r="AA6" s="451">
        <f t="shared" si="13"/>
        <v>112125</v>
      </c>
      <c r="AB6" s="451">
        <f t="shared" si="14"/>
        <v>642940.44999999995</v>
      </c>
      <c r="AC6" s="450" t="e">
        <f t="shared" si="18"/>
        <v>#VALUE!</v>
      </c>
      <c r="AD6" s="450"/>
      <c r="AE6" s="450"/>
      <c r="AF6" s="450"/>
      <c r="AG6" s="450"/>
      <c r="AH6" s="431">
        <v>0</v>
      </c>
      <c r="AI6" s="335">
        <v>36</v>
      </c>
      <c r="AJ6" s="335" t="s">
        <v>1304</v>
      </c>
      <c r="AK6" s="335">
        <v>0</v>
      </c>
      <c r="AL6" s="335">
        <v>0</v>
      </c>
      <c r="AM6" s="335" t="s">
        <v>53</v>
      </c>
      <c r="AN6" s="335" t="s">
        <v>53</v>
      </c>
      <c r="AO6" s="335" t="s">
        <v>53</v>
      </c>
      <c r="AP6" s="335" t="s">
        <v>54</v>
      </c>
      <c r="AQ6" s="383" t="s">
        <v>70</v>
      </c>
      <c r="AR6" s="357"/>
      <c r="AS6" s="357"/>
      <c r="AT6" s="357"/>
      <c r="AU6" s="357"/>
      <c r="AV6" s="357"/>
      <c r="AW6" s="357"/>
      <c r="AX6" s="357"/>
      <c r="AY6" s="432"/>
      <c r="AZ6" s="357"/>
      <c r="BA6" s="357"/>
      <c r="BB6" s="357"/>
      <c r="BC6" s="357"/>
      <c r="BD6" s="358">
        <f>SUM(AR6:BC6)</f>
        <v>0</v>
      </c>
      <c r="BE6" s="357"/>
      <c r="BF6" s="357"/>
      <c r="BG6" s="357"/>
      <c r="BH6" s="357"/>
      <c r="BI6" s="357">
        <f>25219.29*4</f>
        <v>100877.16</v>
      </c>
      <c r="BJ6" s="357">
        <v>25219.29</v>
      </c>
      <c r="BK6" s="357">
        <v>0</v>
      </c>
      <c r="BL6" s="357">
        <f>25219</f>
        <v>25219</v>
      </c>
      <c r="BM6" s="357">
        <v>0</v>
      </c>
      <c r="BN6" s="357">
        <v>17250</v>
      </c>
      <c r="BO6" s="357">
        <f>17250*4</f>
        <v>69000</v>
      </c>
      <c r="BP6" s="357">
        <f>17250</f>
        <v>17250</v>
      </c>
      <c r="BQ6" s="358">
        <f>SUM(BE6:BP6)</f>
        <v>254815.45</v>
      </c>
      <c r="BR6" s="357"/>
      <c r="BS6" s="357"/>
      <c r="BT6" s="357"/>
      <c r="BU6" s="357"/>
      <c r="BV6" s="357"/>
      <c r="BW6" s="357"/>
      <c r="BX6" s="357"/>
      <c r="BY6" s="357"/>
      <c r="BZ6" s="357">
        <v>17250</v>
      </c>
      <c r="CA6" s="357">
        <v>17250</v>
      </c>
      <c r="CB6" s="357">
        <v>17250</v>
      </c>
      <c r="CC6" s="357"/>
      <c r="CD6" s="329">
        <f t="shared" si="15"/>
        <v>51750</v>
      </c>
      <c r="CE6" s="328">
        <v>17250</v>
      </c>
      <c r="CF6" s="328">
        <f>17250+17250+17250+17250</f>
        <v>69000</v>
      </c>
      <c r="CG6" s="328">
        <f>17250+17250</f>
        <v>34500</v>
      </c>
      <c r="CH6" s="328"/>
      <c r="CI6" s="328"/>
      <c r="CJ6" s="328">
        <v>17250</v>
      </c>
      <c r="CK6" s="328"/>
      <c r="CL6" s="328">
        <v>17250</v>
      </c>
      <c r="CM6" s="328"/>
      <c r="CN6" s="328">
        <v>17250</v>
      </c>
      <c r="CO6" s="328">
        <v>17250</v>
      </c>
      <c r="CP6" s="328">
        <f>17250+17250</f>
        <v>34500</v>
      </c>
      <c r="CQ6" s="398">
        <f t="shared" si="16"/>
        <v>224250</v>
      </c>
      <c r="CR6" s="331">
        <v>17250</v>
      </c>
      <c r="CS6" s="331"/>
      <c r="CT6" s="331">
        <v>17250</v>
      </c>
      <c r="CU6" s="331">
        <f>17250+17250+17250</f>
        <v>51750</v>
      </c>
      <c r="CV6" s="331">
        <f>8625+17250</f>
        <v>25875</v>
      </c>
      <c r="CW6" s="331"/>
      <c r="CX6" s="331"/>
      <c r="CY6" s="331"/>
      <c r="CZ6" s="331"/>
      <c r="DA6" s="331"/>
      <c r="DB6" s="331"/>
      <c r="DC6" s="331"/>
      <c r="DD6" s="331">
        <f t="shared" si="0"/>
        <v>112125</v>
      </c>
      <c r="DE6" s="1"/>
      <c r="DF6" s="1"/>
      <c r="DG6" s="1"/>
      <c r="DH6" s="1"/>
      <c r="DI6" s="1"/>
      <c r="DJ6" s="1"/>
      <c r="DK6" s="1"/>
      <c r="DL6" s="1"/>
      <c r="DM6" s="1"/>
      <c r="DN6" s="1"/>
      <c r="DO6" s="1"/>
      <c r="DP6" s="1"/>
      <c r="DQ6" s="1"/>
    </row>
    <row r="7" spans="1:121" ht="48" hidden="1" x14ac:dyDescent="0.2">
      <c r="A7" s="360" t="s">
        <v>466</v>
      </c>
      <c r="B7" s="383" t="s">
        <v>107</v>
      </c>
      <c r="C7" s="331" t="s">
        <v>467</v>
      </c>
      <c r="D7" s="331" t="s">
        <v>470</v>
      </c>
      <c r="E7" s="331"/>
      <c r="F7" s="331" t="s">
        <v>471</v>
      </c>
      <c r="G7" s="331" t="s">
        <v>49</v>
      </c>
      <c r="H7" s="383" t="s">
        <v>354</v>
      </c>
      <c r="I7" s="383" t="s">
        <v>363</v>
      </c>
      <c r="J7" s="70">
        <v>44376</v>
      </c>
      <c r="K7" s="70">
        <v>45472</v>
      </c>
      <c r="L7" s="447" t="s">
        <v>493</v>
      </c>
      <c r="M7" s="426"/>
      <c r="N7" s="328">
        <f t="shared" si="1"/>
        <v>0</v>
      </c>
      <c r="O7" s="449">
        <f t="shared" si="2"/>
        <v>0</v>
      </c>
      <c r="P7" s="434">
        <f t="shared" si="3"/>
        <v>0</v>
      </c>
      <c r="Q7" s="328">
        <f t="shared" si="4"/>
        <v>0</v>
      </c>
      <c r="R7" s="449">
        <f t="shared" si="5"/>
        <v>0</v>
      </c>
      <c r="S7" s="434">
        <f t="shared" si="6"/>
        <v>0</v>
      </c>
      <c r="T7" s="328">
        <f t="shared" si="7"/>
        <v>0</v>
      </c>
      <c r="U7" s="398">
        <f t="shared" si="8"/>
        <v>0</v>
      </c>
      <c r="V7" s="328">
        <f t="shared" si="17"/>
        <v>0</v>
      </c>
      <c r="W7" s="328">
        <f t="shared" si="9"/>
        <v>0</v>
      </c>
      <c r="X7" s="328">
        <f t="shared" si="10"/>
        <v>0</v>
      </c>
      <c r="Y7" s="450" t="e">
        <f t="shared" si="11"/>
        <v>#VALUE!</v>
      </c>
      <c r="Z7" s="451">
        <f t="shared" si="12"/>
        <v>0</v>
      </c>
      <c r="AA7" s="451">
        <f t="shared" si="13"/>
        <v>0</v>
      </c>
      <c r="AB7" s="451">
        <f t="shared" si="14"/>
        <v>0</v>
      </c>
      <c r="AC7" s="450" t="e">
        <f t="shared" si="18"/>
        <v>#VALUE!</v>
      </c>
      <c r="AD7" s="450"/>
      <c r="AE7" s="450"/>
      <c r="AF7" s="450"/>
      <c r="AG7" s="450"/>
      <c r="AH7" s="431">
        <v>0</v>
      </c>
      <c r="AI7" s="335">
        <v>36</v>
      </c>
      <c r="AJ7" s="335" t="s">
        <v>1304</v>
      </c>
      <c r="AK7" s="335">
        <v>0</v>
      </c>
      <c r="AL7" s="335">
        <v>0</v>
      </c>
      <c r="AM7" s="335" t="s">
        <v>53</v>
      </c>
      <c r="AN7" s="335" t="s">
        <v>53</v>
      </c>
      <c r="AO7" s="335" t="s">
        <v>53</v>
      </c>
      <c r="AP7" s="335" t="s">
        <v>54</v>
      </c>
      <c r="AQ7" s="383" t="s">
        <v>70</v>
      </c>
      <c r="AR7" s="357"/>
      <c r="AS7" s="357"/>
      <c r="AT7" s="357"/>
      <c r="AU7" s="357"/>
      <c r="AV7" s="357"/>
      <c r="AW7" s="357"/>
      <c r="AX7" s="357"/>
      <c r="AY7" s="432"/>
      <c r="AZ7" s="357"/>
      <c r="BA7" s="357"/>
      <c r="BB7" s="357"/>
      <c r="BC7" s="357"/>
      <c r="BD7" s="358">
        <f>SUM(AR7:BC7)</f>
        <v>0</v>
      </c>
      <c r="BE7" s="357"/>
      <c r="BF7" s="357"/>
      <c r="BG7" s="357"/>
      <c r="BH7" s="357"/>
      <c r="BI7" s="357"/>
      <c r="BJ7" s="357"/>
      <c r="BK7" s="357"/>
      <c r="BL7" s="357"/>
      <c r="BM7" s="357"/>
      <c r="BN7" s="357"/>
      <c r="BO7" s="357"/>
      <c r="BP7" s="357"/>
      <c r="BQ7" s="358">
        <f>SUM(BE7:BP7)</f>
        <v>0</v>
      </c>
      <c r="BR7" s="357"/>
      <c r="BS7" s="357"/>
      <c r="BT7" s="357"/>
      <c r="BU7" s="357"/>
      <c r="BV7" s="357"/>
      <c r="BW7" s="357"/>
      <c r="BX7" s="357"/>
      <c r="BY7" s="357"/>
      <c r="BZ7" s="357"/>
      <c r="CA7" s="357"/>
      <c r="CB7" s="357"/>
      <c r="CC7" s="357"/>
      <c r="CD7" s="329">
        <f t="shared" si="15"/>
        <v>0</v>
      </c>
      <c r="CE7" s="328"/>
      <c r="CF7" s="328"/>
      <c r="CG7" s="328"/>
      <c r="CH7" s="328"/>
      <c r="CI7" s="328"/>
      <c r="CJ7" s="328"/>
      <c r="CK7" s="328"/>
      <c r="CL7" s="328"/>
      <c r="CM7" s="328"/>
      <c r="CN7" s="328"/>
      <c r="CO7" s="328"/>
      <c r="CP7" s="328"/>
      <c r="CQ7" s="398">
        <f t="shared" si="16"/>
        <v>0</v>
      </c>
      <c r="CR7" s="331"/>
      <c r="CS7" s="331"/>
      <c r="CT7" s="331"/>
      <c r="CU7" s="331"/>
      <c r="CV7" s="331"/>
      <c r="CW7" s="331"/>
      <c r="CX7" s="331"/>
      <c r="CY7" s="331"/>
      <c r="CZ7" s="331"/>
      <c r="DA7" s="331"/>
      <c r="DB7" s="331"/>
      <c r="DC7" s="331"/>
      <c r="DD7" s="331">
        <f t="shared" si="0"/>
        <v>0</v>
      </c>
      <c r="DE7" s="1"/>
      <c r="DF7" s="1"/>
      <c r="DG7" s="1"/>
      <c r="DH7" s="1"/>
      <c r="DI7" s="1"/>
      <c r="DJ7" s="1"/>
      <c r="DK7" s="1"/>
      <c r="DL7" s="1"/>
      <c r="DM7" s="1"/>
      <c r="DN7" s="1"/>
      <c r="DO7" s="1"/>
      <c r="DP7" s="1"/>
      <c r="DQ7" s="1"/>
    </row>
    <row r="8" spans="1:121" ht="48" hidden="1" x14ac:dyDescent="0.2">
      <c r="A8" s="360" t="s">
        <v>466</v>
      </c>
      <c r="B8" s="383" t="s">
        <v>107</v>
      </c>
      <c r="C8" s="331" t="s">
        <v>467</v>
      </c>
      <c r="D8" s="331" t="s">
        <v>472</v>
      </c>
      <c r="E8" s="331"/>
      <c r="F8" s="331" t="s">
        <v>473</v>
      </c>
      <c r="G8" s="331" t="s">
        <v>49</v>
      </c>
      <c r="H8" s="383" t="s">
        <v>354</v>
      </c>
      <c r="I8" s="383" t="s">
        <v>363</v>
      </c>
      <c r="J8" s="70">
        <v>44376</v>
      </c>
      <c r="K8" s="70">
        <v>45472</v>
      </c>
      <c r="L8" s="447" t="s">
        <v>493</v>
      </c>
      <c r="M8" s="426"/>
      <c r="N8" s="328">
        <f t="shared" si="1"/>
        <v>0</v>
      </c>
      <c r="O8" s="449">
        <f t="shared" si="2"/>
        <v>0</v>
      </c>
      <c r="P8" s="434">
        <f t="shared" si="3"/>
        <v>0</v>
      </c>
      <c r="Q8" s="328">
        <f t="shared" si="4"/>
        <v>0</v>
      </c>
      <c r="R8" s="449">
        <f t="shared" si="5"/>
        <v>0</v>
      </c>
      <c r="S8" s="434">
        <f t="shared" si="6"/>
        <v>0</v>
      </c>
      <c r="T8" s="328">
        <f t="shared" si="7"/>
        <v>0</v>
      </c>
      <c r="U8" s="398">
        <f t="shared" si="8"/>
        <v>0</v>
      </c>
      <c r="V8" s="328">
        <f t="shared" si="17"/>
        <v>0</v>
      </c>
      <c r="W8" s="328">
        <f t="shared" si="9"/>
        <v>0</v>
      </c>
      <c r="X8" s="328">
        <f t="shared" si="10"/>
        <v>0</v>
      </c>
      <c r="Y8" s="450" t="e">
        <f t="shared" si="11"/>
        <v>#VALUE!</v>
      </c>
      <c r="Z8" s="451">
        <f t="shared" si="12"/>
        <v>0</v>
      </c>
      <c r="AA8" s="451">
        <f t="shared" si="13"/>
        <v>0</v>
      </c>
      <c r="AB8" s="451">
        <f t="shared" si="14"/>
        <v>0</v>
      </c>
      <c r="AC8" s="450" t="e">
        <f t="shared" si="18"/>
        <v>#VALUE!</v>
      </c>
      <c r="AD8" s="450"/>
      <c r="AE8" s="450"/>
      <c r="AF8" s="450"/>
      <c r="AG8" s="450"/>
      <c r="AH8" s="431">
        <v>0</v>
      </c>
      <c r="AI8" s="335">
        <v>36</v>
      </c>
      <c r="AJ8" s="335" t="s">
        <v>1304</v>
      </c>
      <c r="AK8" s="335">
        <v>0</v>
      </c>
      <c r="AL8" s="335">
        <v>0</v>
      </c>
      <c r="AM8" s="335" t="s">
        <v>53</v>
      </c>
      <c r="AN8" s="335" t="s">
        <v>53</v>
      </c>
      <c r="AO8" s="335" t="s">
        <v>53</v>
      </c>
      <c r="AP8" s="335" t="s">
        <v>54</v>
      </c>
      <c r="AQ8" s="383" t="s">
        <v>70</v>
      </c>
      <c r="AR8" s="357"/>
      <c r="AS8" s="357"/>
      <c r="AT8" s="357"/>
      <c r="AU8" s="357"/>
      <c r="AV8" s="357"/>
      <c r="AW8" s="357"/>
      <c r="AX8" s="357"/>
      <c r="AY8" s="432"/>
      <c r="AZ8" s="357"/>
      <c r="BA8" s="357"/>
      <c r="BB8" s="357"/>
      <c r="BC8" s="357"/>
      <c r="BD8" s="358">
        <f>SUM(AR8:BC8)</f>
        <v>0</v>
      </c>
      <c r="BE8" s="357"/>
      <c r="BF8" s="357"/>
      <c r="BG8" s="357"/>
      <c r="BH8" s="357"/>
      <c r="BI8" s="357"/>
      <c r="BJ8" s="357"/>
      <c r="BK8" s="357"/>
      <c r="BL8" s="357"/>
      <c r="BM8" s="357"/>
      <c r="BN8" s="357"/>
      <c r="BO8" s="357"/>
      <c r="BP8" s="357"/>
      <c r="BQ8" s="358">
        <f>SUM(BE8:BP8)</f>
        <v>0</v>
      </c>
      <c r="BR8" s="357"/>
      <c r="BS8" s="357"/>
      <c r="BT8" s="357"/>
      <c r="BU8" s="357"/>
      <c r="BV8" s="357"/>
      <c r="BW8" s="357"/>
      <c r="BX8" s="357"/>
      <c r="BY8" s="357"/>
      <c r="BZ8" s="357"/>
      <c r="CA8" s="357"/>
      <c r="CB8" s="357"/>
      <c r="CC8" s="357"/>
      <c r="CD8" s="329">
        <f t="shared" si="15"/>
        <v>0</v>
      </c>
      <c r="CE8" s="328"/>
      <c r="CF8" s="328"/>
      <c r="CG8" s="328"/>
      <c r="CH8" s="328"/>
      <c r="CI8" s="328"/>
      <c r="CJ8" s="328"/>
      <c r="CK8" s="328"/>
      <c r="CL8" s="328"/>
      <c r="CM8" s="328"/>
      <c r="CN8" s="328"/>
      <c r="CO8" s="328"/>
      <c r="CP8" s="328"/>
      <c r="CQ8" s="398">
        <f t="shared" si="16"/>
        <v>0</v>
      </c>
      <c r="CR8" s="331"/>
      <c r="CS8" s="331"/>
      <c r="CT8" s="331"/>
      <c r="CU8" s="331"/>
      <c r="CV8" s="331"/>
      <c r="CW8" s="331"/>
      <c r="CX8" s="331"/>
      <c r="CY8" s="331"/>
      <c r="CZ8" s="331"/>
      <c r="DA8" s="331"/>
      <c r="DB8" s="331"/>
      <c r="DC8" s="331"/>
      <c r="DD8" s="331">
        <f t="shared" si="0"/>
        <v>0</v>
      </c>
      <c r="DE8" s="1"/>
      <c r="DF8" s="1"/>
      <c r="DG8" s="1"/>
      <c r="DH8" s="1"/>
      <c r="DI8" s="1"/>
      <c r="DJ8" s="1"/>
      <c r="DK8" s="1"/>
      <c r="DL8" s="1"/>
      <c r="DM8" s="1"/>
      <c r="DN8" s="1"/>
      <c r="DO8" s="1"/>
      <c r="DP8" s="1"/>
      <c r="DQ8" s="1"/>
    </row>
    <row r="9" spans="1:121" ht="48" hidden="1" x14ac:dyDescent="0.2">
      <c r="A9" s="1" t="s">
        <v>464</v>
      </c>
      <c r="B9" s="1" t="s">
        <v>107</v>
      </c>
      <c r="C9" s="1" t="s">
        <v>510</v>
      </c>
      <c r="D9" s="1" t="s">
        <v>511</v>
      </c>
      <c r="E9" s="1"/>
      <c r="F9" s="1" t="s">
        <v>1292</v>
      </c>
      <c r="G9" s="1" t="s">
        <v>49</v>
      </c>
      <c r="H9" s="1" t="s">
        <v>328</v>
      </c>
      <c r="I9" s="1" t="s">
        <v>316</v>
      </c>
      <c r="J9" s="24">
        <v>44509</v>
      </c>
      <c r="K9" s="24">
        <v>45605</v>
      </c>
      <c r="L9" s="185" t="s">
        <v>493</v>
      </c>
      <c r="M9" s="135"/>
      <c r="N9" s="42">
        <f t="shared" si="1"/>
        <v>0</v>
      </c>
      <c r="O9" s="595">
        <f t="shared" si="2"/>
        <v>0</v>
      </c>
      <c r="P9" s="241">
        <f t="shared" si="3"/>
        <v>0</v>
      </c>
      <c r="Q9" s="42">
        <f t="shared" si="4"/>
        <v>0</v>
      </c>
      <c r="R9" s="595">
        <f t="shared" si="5"/>
        <v>0</v>
      </c>
      <c r="S9" s="241">
        <f t="shared" si="6"/>
        <v>0</v>
      </c>
      <c r="T9" s="42">
        <f t="shared" si="7"/>
        <v>110200</v>
      </c>
      <c r="U9" s="56">
        <f t="shared" si="8"/>
        <v>110200</v>
      </c>
      <c r="V9" s="42">
        <f t="shared" si="17"/>
        <v>110200</v>
      </c>
      <c r="W9" s="42">
        <f t="shared" si="9"/>
        <v>354550</v>
      </c>
      <c r="X9" s="42">
        <f t="shared" si="10"/>
        <v>464750</v>
      </c>
      <c r="Y9" s="596" t="e">
        <f t="shared" si="11"/>
        <v>#VALUE!</v>
      </c>
      <c r="Z9" s="597">
        <f t="shared" si="12"/>
        <v>464750</v>
      </c>
      <c r="AA9" s="597">
        <f t="shared" si="13"/>
        <v>431750</v>
      </c>
      <c r="AB9" s="597">
        <f t="shared" si="14"/>
        <v>896500</v>
      </c>
      <c r="AC9" s="596" t="e">
        <f t="shared" si="18"/>
        <v>#VALUE!</v>
      </c>
      <c r="AD9" s="596"/>
      <c r="AE9" s="596"/>
      <c r="AF9" s="596"/>
      <c r="AG9" s="596"/>
      <c r="AH9" s="171">
        <v>0</v>
      </c>
      <c r="AI9" s="46">
        <v>36</v>
      </c>
      <c r="AJ9" s="46" t="s">
        <v>1304</v>
      </c>
      <c r="AK9" s="46">
        <v>0</v>
      </c>
      <c r="AL9" s="46">
        <v>0</v>
      </c>
      <c r="AM9" s="46" t="s">
        <v>53</v>
      </c>
      <c r="AN9" s="46" t="s">
        <v>53</v>
      </c>
      <c r="AO9" s="46" t="s">
        <v>53</v>
      </c>
      <c r="AP9" s="46" t="s">
        <v>54</v>
      </c>
      <c r="AQ9" s="33" t="s">
        <v>70</v>
      </c>
      <c r="AR9" s="15"/>
      <c r="AS9" s="15"/>
      <c r="AT9" s="15"/>
      <c r="AU9" s="15"/>
      <c r="AV9" s="15"/>
      <c r="AW9" s="15"/>
      <c r="AX9" s="15"/>
      <c r="AY9" s="108"/>
      <c r="AZ9" s="15"/>
      <c r="BA9" s="15"/>
      <c r="BB9" s="15"/>
      <c r="BC9" s="15"/>
      <c r="BD9" s="102"/>
      <c r="BE9" s="15"/>
      <c r="BF9" s="15"/>
      <c r="BG9" s="15"/>
      <c r="BH9" s="15"/>
      <c r="BI9" s="15"/>
      <c r="BJ9" s="15"/>
      <c r="BK9" s="15"/>
      <c r="BL9" s="15"/>
      <c r="BM9" s="15"/>
      <c r="BN9" s="15"/>
      <c r="BO9" s="15"/>
      <c r="BP9" s="15"/>
      <c r="BQ9" s="15"/>
      <c r="BR9" s="15"/>
      <c r="BS9" s="15"/>
      <c r="BT9" s="15"/>
      <c r="BU9" s="15"/>
      <c r="BV9" s="15"/>
      <c r="BW9" s="15"/>
      <c r="BX9" s="15"/>
      <c r="BY9" s="15"/>
      <c r="BZ9" s="15"/>
      <c r="CA9" s="15"/>
      <c r="CB9" s="15"/>
      <c r="CC9" s="15">
        <v>110200</v>
      </c>
      <c r="CD9" s="39">
        <f t="shared" si="15"/>
        <v>110200</v>
      </c>
      <c r="CE9" s="42"/>
      <c r="CF9" s="42">
        <v>110200</v>
      </c>
      <c r="CG9" s="42"/>
      <c r="CH9" s="42"/>
      <c r="CI9" s="42"/>
      <c r="CJ9" s="42"/>
      <c r="CK9" s="42">
        <v>107000</v>
      </c>
      <c r="CL9" s="42"/>
      <c r="CM9" s="42"/>
      <c r="CN9" s="42"/>
      <c r="CO9" s="42"/>
      <c r="CP9" s="42">
        <v>137350</v>
      </c>
      <c r="CQ9" s="56">
        <f t="shared" si="16"/>
        <v>354550</v>
      </c>
      <c r="CR9" s="1">
        <v>0</v>
      </c>
      <c r="CS9" s="1"/>
      <c r="CT9" s="1">
        <v>190200</v>
      </c>
      <c r="CU9" s="1"/>
      <c r="CV9" s="1"/>
      <c r="CW9" s="1"/>
      <c r="CX9" s="1">
        <v>0</v>
      </c>
      <c r="CY9" s="1">
        <v>197850</v>
      </c>
      <c r="CZ9" s="1"/>
      <c r="DA9" s="1"/>
      <c r="DB9" s="1"/>
      <c r="DC9" s="1">
        <f>17250+5175+21275</f>
        <v>43700</v>
      </c>
      <c r="DD9" s="1">
        <f t="shared" si="0"/>
        <v>431750</v>
      </c>
      <c r="DE9" s="1"/>
      <c r="DF9" s="1"/>
      <c r="DG9" s="1"/>
      <c r="DH9" s="1"/>
      <c r="DI9" s="1"/>
      <c r="DJ9" s="1"/>
      <c r="DK9" s="1"/>
      <c r="DL9" s="1"/>
      <c r="DM9" s="1"/>
      <c r="DN9" s="1"/>
      <c r="DO9" s="1"/>
      <c r="DP9" s="1"/>
      <c r="DQ9" s="1"/>
    </row>
    <row r="10" spans="1:121" s="10" customFormat="1" ht="48" hidden="1" x14ac:dyDescent="0.2">
      <c r="A10" s="360" t="s">
        <v>497</v>
      </c>
      <c r="B10" s="382" t="s">
        <v>107</v>
      </c>
      <c r="C10" s="360" t="s">
        <v>498</v>
      </c>
      <c r="D10" s="360" t="s">
        <v>499</v>
      </c>
      <c r="E10" s="360"/>
      <c r="F10" s="360" t="s">
        <v>1293</v>
      </c>
      <c r="G10" s="360" t="s">
        <v>49</v>
      </c>
      <c r="H10" s="382" t="s">
        <v>328</v>
      </c>
      <c r="I10" s="382" t="s">
        <v>51</v>
      </c>
      <c r="J10" s="387">
        <v>44316</v>
      </c>
      <c r="K10" s="387">
        <v>45412</v>
      </c>
      <c r="L10" s="447" t="s">
        <v>493</v>
      </c>
      <c r="M10" s="448"/>
      <c r="N10" s="328">
        <f t="shared" si="1"/>
        <v>0</v>
      </c>
      <c r="O10" s="449">
        <f t="shared" si="2"/>
        <v>0</v>
      </c>
      <c r="P10" s="434">
        <f t="shared" si="3"/>
        <v>0</v>
      </c>
      <c r="Q10" s="328">
        <f t="shared" si="4"/>
        <v>0</v>
      </c>
      <c r="R10" s="449">
        <f t="shared" si="5"/>
        <v>0</v>
      </c>
      <c r="S10" s="434">
        <f t="shared" si="6"/>
        <v>0</v>
      </c>
      <c r="T10" s="328">
        <f t="shared" si="7"/>
        <v>0</v>
      </c>
      <c r="U10" s="398">
        <f t="shared" si="8"/>
        <v>0</v>
      </c>
      <c r="V10" s="328">
        <f t="shared" si="17"/>
        <v>0</v>
      </c>
      <c r="W10" s="328">
        <f t="shared" si="9"/>
        <v>0</v>
      </c>
      <c r="X10" s="328">
        <f t="shared" si="10"/>
        <v>0</v>
      </c>
      <c r="Y10" s="450" t="e">
        <f t="shared" si="11"/>
        <v>#VALUE!</v>
      </c>
      <c r="Z10" s="451">
        <f t="shared" si="12"/>
        <v>0</v>
      </c>
      <c r="AA10" s="451">
        <f t="shared" si="13"/>
        <v>0</v>
      </c>
      <c r="AB10" s="451">
        <f t="shared" si="14"/>
        <v>0</v>
      </c>
      <c r="AC10" s="450" t="e">
        <f t="shared" si="18"/>
        <v>#VALUE!</v>
      </c>
      <c r="AD10" s="450"/>
      <c r="AE10" s="450"/>
      <c r="AF10" s="450"/>
      <c r="AG10" s="450"/>
      <c r="AH10" s="356">
        <v>0</v>
      </c>
      <c r="AI10" s="334">
        <v>36</v>
      </c>
      <c r="AJ10" s="334" t="s">
        <v>1304</v>
      </c>
      <c r="AK10" s="334">
        <v>0</v>
      </c>
      <c r="AL10" s="334">
        <v>0</v>
      </c>
      <c r="AM10" s="334" t="s">
        <v>53</v>
      </c>
      <c r="AN10" s="334" t="s">
        <v>53</v>
      </c>
      <c r="AO10" s="334" t="s">
        <v>53</v>
      </c>
      <c r="AP10" s="334" t="s">
        <v>54</v>
      </c>
      <c r="AQ10" s="382" t="s">
        <v>70</v>
      </c>
      <c r="AR10" s="393"/>
      <c r="AS10" s="391"/>
      <c r="AT10" s="391"/>
      <c r="AU10" s="391"/>
      <c r="AV10" s="391"/>
      <c r="AW10" s="391"/>
      <c r="AX10" s="391"/>
      <c r="AY10" s="391"/>
      <c r="AZ10" s="391"/>
      <c r="BA10" s="391"/>
      <c r="BB10" s="391"/>
      <c r="BC10" s="391"/>
      <c r="BD10" s="386">
        <f t="shared" ref="BD10:BD20" si="19">SUM(AR10:BC10)</f>
        <v>0</v>
      </c>
      <c r="BE10" s="329"/>
      <c r="BF10" s="329"/>
      <c r="BG10" s="329"/>
      <c r="BH10" s="329"/>
      <c r="BI10" s="329"/>
      <c r="BJ10" s="329"/>
      <c r="BK10" s="329"/>
      <c r="BL10" s="329"/>
      <c r="BM10" s="329"/>
      <c r="BN10" s="329"/>
      <c r="BO10" s="329"/>
      <c r="BP10" s="329"/>
      <c r="BQ10" s="392">
        <f t="shared" ref="BQ10:BQ20" si="20">SUM(BE10:BP10)</f>
        <v>0</v>
      </c>
      <c r="BR10" s="393"/>
      <c r="BS10" s="391"/>
      <c r="BT10" s="391"/>
      <c r="BU10" s="391"/>
      <c r="BV10" s="391"/>
      <c r="BW10" s="391"/>
      <c r="BX10" s="391"/>
      <c r="BY10" s="391"/>
      <c r="BZ10" s="391"/>
      <c r="CA10" s="391"/>
      <c r="CB10" s="391"/>
      <c r="CC10" s="452"/>
      <c r="CD10" s="329">
        <f t="shared" si="15"/>
        <v>0</v>
      </c>
      <c r="CE10" s="329"/>
      <c r="CF10" s="329"/>
      <c r="CG10" s="329"/>
      <c r="CH10" s="329"/>
      <c r="CI10" s="329"/>
      <c r="CJ10" s="329"/>
      <c r="CK10" s="329"/>
      <c r="CL10" s="329"/>
      <c r="CM10" s="329"/>
      <c r="CN10" s="329"/>
      <c r="CO10" s="329"/>
      <c r="CP10" s="329"/>
      <c r="CQ10" s="398">
        <f t="shared" si="16"/>
        <v>0</v>
      </c>
      <c r="CR10" s="360"/>
      <c r="CS10" s="360"/>
      <c r="CT10" s="360"/>
      <c r="CU10" s="360"/>
      <c r="CV10" s="360"/>
      <c r="CW10" s="360"/>
      <c r="CX10" s="360"/>
      <c r="CY10" s="360"/>
      <c r="CZ10" s="360"/>
      <c r="DA10" s="360"/>
      <c r="DB10" s="360"/>
      <c r="DC10" s="360"/>
      <c r="DD10" s="331">
        <f t="shared" si="0"/>
        <v>0</v>
      </c>
      <c r="DE10" s="4"/>
      <c r="DF10" s="4"/>
      <c r="DG10" s="4"/>
      <c r="DH10" s="4"/>
      <c r="DI10" s="4"/>
      <c r="DJ10" s="4"/>
      <c r="DK10" s="4"/>
      <c r="DL10" s="4"/>
      <c r="DM10" s="4"/>
      <c r="DN10" s="4"/>
      <c r="DO10" s="4"/>
      <c r="DP10" s="4"/>
      <c r="DQ10" s="4"/>
    </row>
    <row r="11" spans="1:121" s="10" customFormat="1" ht="48" hidden="1" x14ac:dyDescent="0.2">
      <c r="A11" s="360" t="s">
        <v>497</v>
      </c>
      <c r="B11" s="382" t="s">
        <v>107</v>
      </c>
      <c r="C11" s="360" t="s">
        <v>498</v>
      </c>
      <c r="D11" s="360" t="s">
        <v>500</v>
      </c>
      <c r="E11" s="360"/>
      <c r="F11" s="360" t="s">
        <v>1294</v>
      </c>
      <c r="G11" s="360" t="s">
        <v>49</v>
      </c>
      <c r="H11" s="382" t="s">
        <v>328</v>
      </c>
      <c r="I11" s="382" t="s">
        <v>51</v>
      </c>
      <c r="J11" s="387">
        <v>44316</v>
      </c>
      <c r="K11" s="387">
        <v>45412</v>
      </c>
      <c r="L11" s="447" t="s">
        <v>493</v>
      </c>
      <c r="M11" s="448"/>
      <c r="N11" s="328">
        <f t="shared" si="1"/>
        <v>0</v>
      </c>
      <c r="O11" s="449">
        <f t="shared" si="2"/>
        <v>0</v>
      </c>
      <c r="P11" s="434">
        <f t="shared" si="3"/>
        <v>0</v>
      </c>
      <c r="Q11" s="328">
        <f t="shared" si="4"/>
        <v>0</v>
      </c>
      <c r="R11" s="449">
        <f t="shared" si="5"/>
        <v>0</v>
      </c>
      <c r="S11" s="434">
        <f t="shared" si="6"/>
        <v>0</v>
      </c>
      <c r="T11" s="328">
        <f t="shared" si="7"/>
        <v>0</v>
      </c>
      <c r="U11" s="398">
        <f t="shared" si="8"/>
        <v>0</v>
      </c>
      <c r="V11" s="328">
        <f t="shared" si="17"/>
        <v>0</v>
      </c>
      <c r="W11" s="328">
        <f t="shared" si="9"/>
        <v>0</v>
      </c>
      <c r="X11" s="328">
        <f t="shared" si="10"/>
        <v>0</v>
      </c>
      <c r="Y11" s="450" t="e">
        <f t="shared" si="11"/>
        <v>#VALUE!</v>
      </c>
      <c r="Z11" s="451">
        <f t="shared" si="12"/>
        <v>0</v>
      </c>
      <c r="AA11" s="451">
        <f t="shared" si="13"/>
        <v>0</v>
      </c>
      <c r="AB11" s="451">
        <f t="shared" si="14"/>
        <v>0</v>
      </c>
      <c r="AC11" s="450" t="e">
        <f t="shared" si="18"/>
        <v>#VALUE!</v>
      </c>
      <c r="AD11" s="450"/>
      <c r="AE11" s="450"/>
      <c r="AF11" s="450"/>
      <c r="AG11" s="450"/>
      <c r="AH11" s="356">
        <v>0</v>
      </c>
      <c r="AI11" s="334">
        <v>36</v>
      </c>
      <c r="AJ11" s="334" t="s">
        <v>1304</v>
      </c>
      <c r="AK11" s="334">
        <v>0</v>
      </c>
      <c r="AL11" s="334">
        <v>0</v>
      </c>
      <c r="AM11" s="334" t="s">
        <v>53</v>
      </c>
      <c r="AN11" s="334" t="s">
        <v>53</v>
      </c>
      <c r="AO11" s="334" t="s">
        <v>53</v>
      </c>
      <c r="AP11" s="334" t="s">
        <v>54</v>
      </c>
      <c r="AQ11" s="382" t="s">
        <v>70</v>
      </c>
      <c r="AR11" s="391"/>
      <c r="AS11" s="391"/>
      <c r="AT11" s="391"/>
      <c r="AU11" s="391"/>
      <c r="AV11" s="391"/>
      <c r="AW11" s="391"/>
      <c r="AX11" s="391"/>
      <c r="AY11" s="391"/>
      <c r="AZ11" s="391"/>
      <c r="BA11" s="391"/>
      <c r="BB11" s="391"/>
      <c r="BC11" s="391"/>
      <c r="BD11" s="386">
        <f t="shared" si="19"/>
        <v>0</v>
      </c>
      <c r="BE11" s="329"/>
      <c r="BF11" s="329"/>
      <c r="BG11" s="329"/>
      <c r="BH11" s="329"/>
      <c r="BI11" s="329"/>
      <c r="BJ11" s="329"/>
      <c r="BK11" s="329"/>
      <c r="BL11" s="329"/>
      <c r="BM11" s="329"/>
      <c r="BN11" s="329"/>
      <c r="BO11" s="329"/>
      <c r="BP11" s="329"/>
      <c r="BQ11" s="392">
        <f t="shared" si="20"/>
        <v>0</v>
      </c>
      <c r="BR11" s="391"/>
      <c r="BS11" s="391"/>
      <c r="BT11" s="391"/>
      <c r="BU11" s="391"/>
      <c r="BV11" s="391"/>
      <c r="BW11" s="391"/>
      <c r="BX11" s="391"/>
      <c r="BY11" s="391"/>
      <c r="BZ11" s="391"/>
      <c r="CA11" s="391"/>
      <c r="CB11" s="391"/>
      <c r="CC11" s="452"/>
      <c r="CD11" s="329">
        <f t="shared" si="15"/>
        <v>0</v>
      </c>
      <c r="CE11" s="329"/>
      <c r="CF11" s="329"/>
      <c r="CG11" s="329"/>
      <c r="CH11" s="329"/>
      <c r="CI11" s="329"/>
      <c r="CJ11" s="329"/>
      <c r="CK11" s="329"/>
      <c r="CL11" s="329"/>
      <c r="CM11" s="329"/>
      <c r="CN11" s="329"/>
      <c r="CO11" s="329"/>
      <c r="CP11" s="329"/>
      <c r="CQ11" s="398">
        <f t="shared" si="16"/>
        <v>0</v>
      </c>
      <c r="CR11" s="360"/>
      <c r="CS11" s="360"/>
      <c r="CT11" s="360"/>
      <c r="CU11" s="360"/>
      <c r="CV11" s="360"/>
      <c r="CW11" s="360"/>
      <c r="CX11" s="360"/>
      <c r="CY11" s="360"/>
      <c r="CZ11" s="360"/>
      <c r="DA11" s="360"/>
      <c r="DB11" s="360"/>
      <c r="DC11" s="360"/>
      <c r="DD11" s="331">
        <f t="shared" si="0"/>
        <v>0</v>
      </c>
      <c r="DE11" s="4"/>
      <c r="DF11" s="4"/>
      <c r="DG11" s="4"/>
      <c r="DH11" s="4"/>
      <c r="DI11" s="4"/>
      <c r="DJ11" s="4"/>
      <c r="DK11" s="4"/>
      <c r="DL11" s="4"/>
      <c r="DM11" s="4"/>
      <c r="DN11" s="4"/>
      <c r="DO11" s="4"/>
      <c r="DP11" s="4"/>
      <c r="DQ11" s="4"/>
    </row>
    <row r="12" spans="1:121" s="10" customFormat="1" ht="48" hidden="1" x14ac:dyDescent="0.2">
      <c r="A12" s="360" t="s">
        <v>497</v>
      </c>
      <c r="B12" s="382" t="s">
        <v>107</v>
      </c>
      <c r="C12" s="360" t="s">
        <v>498</v>
      </c>
      <c r="D12" s="360" t="s">
        <v>298</v>
      </c>
      <c r="E12" s="360"/>
      <c r="F12" s="360" t="s">
        <v>299</v>
      </c>
      <c r="G12" s="360" t="s">
        <v>49</v>
      </c>
      <c r="H12" s="382" t="s">
        <v>328</v>
      </c>
      <c r="I12" s="382" t="s">
        <v>51</v>
      </c>
      <c r="J12" s="387">
        <v>44316</v>
      </c>
      <c r="K12" s="387">
        <v>45412</v>
      </c>
      <c r="L12" s="447" t="s">
        <v>493</v>
      </c>
      <c r="M12" s="448"/>
      <c r="N12" s="328">
        <f t="shared" si="1"/>
        <v>0</v>
      </c>
      <c r="O12" s="449">
        <f t="shared" si="2"/>
        <v>0</v>
      </c>
      <c r="P12" s="434">
        <f t="shared" si="3"/>
        <v>0</v>
      </c>
      <c r="Q12" s="328">
        <f t="shared" si="4"/>
        <v>0</v>
      </c>
      <c r="R12" s="449">
        <f t="shared" si="5"/>
        <v>0</v>
      </c>
      <c r="S12" s="434">
        <f t="shared" si="6"/>
        <v>0</v>
      </c>
      <c r="T12" s="328">
        <f t="shared" si="7"/>
        <v>7618614.3000000007</v>
      </c>
      <c r="U12" s="398">
        <f t="shared" si="8"/>
        <v>7618614.3000000007</v>
      </c>
      <c r="V12" s="328">
        <f t="shared" si="17"/>
        <v>7618614.3000000007</v>
      </c>
      <c r="W12" s="328">
        <f t="shared" si="9"/>
        <v>2759185.8</v>
      </c>
      <c r="X12" s="328">
        <f t="shared" si="10"/>
        <v>10377800.100000001</v>
      </c>
      <c r="Y12" s="450" t="e">
        <f t="shared" si="11"/>
        <v>#VALUE!</v>
      </c>
      <c r="Z12" s="451">
        <f t="shared" si="12"/>
        <v>10377800.100000001</v>
      </c>
      <c r="AA12" s="451">
        <f t="shared" si="13"/>
        <v>0</v>
      </c>
      <c r="AB12" s="451">
        <f t="shared" si="14"/>
        <v>10377800.100000001</v>
      </c>
      <c r="AC12" s="450" t="e">
        <f t="shared" si="18"/>
        <v>#VALUE!</v>
      </c>
      <c r="AD12" s="450"/>
      <c r="AE12" s="450"/>
      <c r="AF12" s="450"/>
      <c r="AG12" s="450"/>
      <c r="AH12" s="356">
        <v>0</v>
      </c>
      <c r="AI12" s="334">
        <v>36</v>
      </c>
      <c r="AJ12" s="334" t="s">
        <v>1304</v>
      </c>
      <c r="AK12" s="334">
        <v>0</v>
      </c>
      <c r="AL12" s="334">
        <v>0</v>
      </c>
      <c r="AM12" s="334" t="s">
        <v>53</v>
      </c>
      <c r="AN12" s="334" t="s">
        <v>53</v>
      </c>
      <c r="AO12" s="334" t="s">
        <v>53</v>
      </c>
      <c r="AP12" s="334" t="s">
        <v>54</v>
      </c>
      <c r="AQ12" s="382" t="s">
        <v>70</v>
      </c>
      <c r="AR12" s="391"/>
      <c r="AS12" s="391"/>
      <c r="AT12" s="391"/>
      <c r="AU12" s="391"/>
      <c r="AV12" s="391"/>
      <c r="AW12" s="391"/>
      <c r="AX12" s="391"/>
      <c r="AY12" s="391"/>
      <c r="AZ12" s="391"/>
      <c r="BA12" s="391"/>
      <c r="BB12" s="391"/>
      <c r="BC12" s="391"/>
      <c r="BD12" s="386">
        <f t="shared" si="19"/>
        <v>0</v>
      </c>
      <c r="BE12" s="329"/>
      <c r="BF12" s="329"/>
      <c r="BG12" s="329"/>
      <c r="BH12" s="329"/>
      <c r="BI12" s="329"/>
      <c r="BJ12" s="329"/>
      <c r="BK12" s="329"/>
      <c r="BL12" s="329"/>
      <c r="BM12" s="329"/>
      <c r="BN12" s="329"/>
      <c r="BO12" s="329"/>
      <c r="BP12" s="329"/>
      <c r="BQ12" s="392">
        <f t="shared" si="20"/>
        <v>0</v>
      </c>
      <c r="BR12" s="391"/>
      <c r="BS12" s="391"/>
      <c r="BT12" s="391">
        <f>1843852.5+1182901.5</f>
        <v>3026754</v>
      </c>
      <c r="BU12" s="391"/>
      <c r="BV12" s="391"/>
      <c r="BW12" s="391"/>
      <c r="BX12" s="391"/>
      <c r="BY12" s="391"/>
      <c r="BZ12" s="391"/>
      <c r="CA12" s="391">
        <f>1166548.5</f>
        <v>1166548.5</v>
      </c>
      <c r="CB12" s="391"/>
      <c r="CC12" s="452">
        <f>1199647.8+1199647.8+855179.1+170837.1</f>
        <v>3425311.8000000003</v>
      </c>
      <c r="CD12" s="329">
        <f t="shared" si="15"/>
        <v>7618614.3000000007</v>
      </c>
      <c r="CE12" s="329">
        <v>1175346</v>
      </c>
      <c r="CF12" s="329">
        <v>1583839.8</v>
      </c>
      <c r="CG12" s="329"/>
      <c r="CH12" s="329"/>
      <c r="CI12" s="329"/>
      <c r="CJ12" s="329"/>
      <c r="CK12" s="329"/>
      <c r="CL12" s="329"/>
      <c r="CM12" s="329"/>
      <c r="CN12" s="329"/>
      <c r="CO12" s="329"/>
      <c r="CP12" s="329"/>
      <c r="CQ12" s="398">
        <f t="shared" si="16"/>
        <v>2759185.8</v>
      </c>
      <c r="CR12" s="360"/>
      <c r="CS12" s="360"/>
      <c r="CT12" s="360"/>
      <c r="CU12" s="360"/>
      <c r="CV12" s="360"/>
      <c r="CW12" s="360"/>
      <c r="CX12" s="360"/>
      <c r="CY12" s="360"/>
      <c r="CZ12" s="360"/>
      <c r="DA12" s="360"/>
      <c r="DB12" s="360"/>
      <c r="DC12" s="360"/>
      <c r="DD12" s="331">
        <f t="shared" si="0"/>
        <v>0</v>
      </c>
      <c r="DE12" s="4"/>
      <c r="DF12" s="4"/>
      <c r="DG12" s="4"/>
      <c r="DH12" s="4"/>
      <c r="DI12" s="4"/>
      <c r="DJ12" s="4"/>
      <c r="DK12" s="4"/>
      <c r="DL12" s="4"/>
      <c r="DM12" s="4"/>
      <c r="DN12" s="4"/>
      <c r="DO12" s="4"/>
      <c r="DP12" s="4"/>
      <c r="DQ12" s="4"/>
    </row>
    <row r="13" spans="1:121" s="10" customFormat="1" ht="48" hidden="1" x14ac:dyDescent="0.2">
      <c r="A13" s="360" t="s">
        <v>497</v>
      </c>
      <c r="B13" s="382" t="s">
        <v>107</v>
      </c>
      <c r="C13" s="360" t="s">
        <v>498</v>
      </c>
      <c r="D13" s="360" t="s">
        <v>1295</v>
      </c>
      <c r="E13" s="360">
        <v>12829</v>
      </c>
      <c r="F13" s="360" t="s">
        <v>1296</v>
      </c>
      <c r="G13" s="360" t="s">
        <v>49</v>
      </c>
      <c r="H13" s="382" t="s">
        <v>328</v>
      </c>
      <c r="I13" s="382" t="s">
        <v>51</v>
      </c>
      <c r="J13" s="387">
        <v>44316</v>
      </c>
      <c r="K13" s="387">
        <v>45412</v>
      </c>
      <c r="L13" s="447" t="s">
        <v>493</v>
      </c>
      <c r="M13" s="448"/>
      <c r="N13" s="328">
        <f t="shared" si="1"/>
        <v>0</v>
      </c>
      <c r="O13" s="449">
        <f t="shared" si="2"/>
        <v>0</v>
      </c>
      <c r="P13" s="434">
        <f t="shared" si="3"/>
        <v>0</v>
      </c>
      <c r="Q13" s="328">
        <f t="shared" si="4"/>
        <v>0</v>
      </c>
      <c r="R13" s="449">
        <f t="shared" si="5"/>
        <v>0</v>
      </c>
      <c r="S13" s="434">
        <f t="shared" si="6"/>
        <v>0</v>
      </c>
      <c r="T13" s="328">
        <f t="shared" si="7"/>
        <v>0</v>
      </c>
      <c r="U13" s="398">
        <f t="shared" si="8"/>
        <v>0</v>
      </c>
      <c r="V13" s="328">
        <f t="shared" si="17"/>
        <v>0</v>
      </c>
      <c r="W13" s="328">
        <f t="shared" si="9"/>
        <v>0</v>
      </c>
      <c r="X13" s="328">
        <f t="shared" si="10"/>
        <v>0</v>
      </c>
      <c r="Y13" s="450" t="e">
        <f t="shared" si="11"/>
        <v>#VALUE!</v>
      </c>
      <c r="Z13" s="451">
        <f t="shared" si="12"/>
        <v>0</v>
      </c>
      <c r="AA13" s="451">
        <f t="shared" si="13"/>
        <v>3887310.5</v>
      </c>
      <c r="AB13" s="451">
        <f t="shared" si="14"/>
        <v>3887310.5</v>
      </c>
      <c r="AC13" s="450" t="e">
        <f t="shared" si="18"/>
        <v>#VALUE!</v>
      </c>
      <c r="AD13" s="450"/>
      <c r="AE13" s="450"/>
      <c r="AF13" s="450"/>
      <c r="AG13" s="450"/>
      <c r="AH13" s="356">
        <v>0</v>
      </c>
      <c r="AI13" s="334">
        <v>36</v>
      </c>
      <c r="AJ13" s="334" t="s">
        <v>1304</v>
      </c>
      <c r="AK13" s="334">
        <v>0</v>
      </c>
      <c r="AL13" s="334">
        <v>0</v>
      </c>
      <c r="AM13" s="334" t="s">
        <v>53</v>
      </c>
      <c r="AN13" s="334" t="s">
        <v>53</v>
      </c>
      <c r="AO13" s="334" t="s">
        <v>53</v>
      </c>
      <c r="AP13" s="334" t="s">
        <v>54</v>
      </c>
      <c r="AQ13" s="382" t="s">
        <v>70</v>
      </c>
      <c r="AR13" s="391"/>
      <c r="AS13" s="391"/>
      <c r="AT13" s="391"/>
      <c r="AU13" s="391"/>
      <c r="AV13" s="391"/>
      <c r="AW13" s="391"/>
      <c r="AX13" s="391"/>
      <c r="AY13" s="391"/>
      <c r="AZ13" s="391"/>
      <c r="BA13" s="391"/>
      <c r="BB13" s="391"/>
      <c r="BC13" s="391"/>
      <c r="BD13" s="386">
        <f t="shared" si="19"/>
        <v>0</v>
      </c>
      <c r="BE13" s="329"/>
      <c r="BF13" s="329"/>
      <c r="BG13" s="329"/>
      <c r="BH13" s="329"/>
      <c r="BI13" s="329"/>
      <c r="BJ13" s="329"/>
      <c r="BK13" s="329"/>
      <c r="BL13" s="329"/>
      <c r="BM13" s="329"/>
      <c r="BN13" s="329"/>
      <c r="BO13" s="329"/>
      <c r="BP13" s="329"/>
      <c r="BQ13" s="392">
        <f t="shared" si="20"/>
        <v>0</v>
      </c>
      <c r="BR13" s="391"/>
      <c r="BS13" s="391"/>
      <c r="BT13" s="391"/>
      <c r="BU13" s="391"/>
      <c r="BV13" s="391"/>
      <c r="BW13" s="391"/>
      <c r="BX13" s="391"/>
      <c r="BY13" s="391"/>
      <c r="BZ13" s="391"/>
      <c r="CA13" s="391"/>
      <c r="CB13" s="391"/>
      <c r="CC13" s="452"/>
      <c r="CD13" s="329">
        <f t="shared" si="15"/>
        <v>0</v>
      </c>
      <c r="CE13" s="329"/>
      <c r="CF13" s="329"/>
      <c r="CG13" s="329"/>
      <c r="CH13" s="329"/>
      <c r="CI13" s="329"/>
      <c r="CJ13" s="329"/>
      <c r="CK13" s="329"/>
      <c r="CL13" s="329"/>
      <c r="CM13" s="329"/>
      <c r="CN13" s="329"/>
      <c r="CO13" s="329"/>
      <c r="CP13" s="329"/>
      <c r="CQ13" s="398">
        <f t="shared" si="16"/>
        <v>0</v>
      </c>
      <c r="CR13" s="360">
        <v>197915</v>
      </c>
      <c r="CS13" s="360">
        <v>0</v>
      </c>
      <c r="CT13" s="360">
        <v>996958</v>
      </c>
      <c r="CU13" s="360">
        <v>612927</v>
      </c>
      <c r="CV13" s="360">
        <v>86595</v>
      </c>
      <c r="CW13" s="360"/>
      <c r="CX13" s="360">
        <v>1393236.5</v>
      </c>
      <c r="CY13" s="360"/>
      <c r="CZ13" s="360">
        <v>599679</v>
      </c>
      <c r="DA13" s="360"/>
      <c r="DB13" s="360"/>
      <c r="DC13" s="360"/>
      <c r="DD13" s="331">
        <f>SUM(CR13:DC13)</f>
        <v>3887310.5</v>
      </c>
      <c r="DE13" s="4"/>
      <c r="DF13" s="4"/>
      <c r="DG13" s="4"/>
      <c r="DH13" s="4"/>
      <c r="DI13" s="4"/>
      <c r="DJ13" s="4"/>
      <c r="DK13" s="4"/>
      <c r="DL13" s="4"/>
      <c r="DM13" s="4"/>
      <c r="DN13" s="4"/>
      <c r="DO13" s="4"/>
      <c r="DP13" s="4"/>
      <c r="DQ13" s="4"/>
    </row>
    <row r="14" spans="1:121" s="10" customFormat="1" ht="48" hidden="1" x14ac:dyDescent="0.2">
      <c r="A14" s="4" t="s">
        <v>497</v>
      </c>
      <c r="B14" s="6" t="s">
        <v>107</v>
      </c>
      <c r="C14" s="4" t="s">
        <v>498</v>
      </c>
      <c r="D14" s="4" t="s">
        <v>501</v>
      </c>
      <c r="E14" s="4"/>
      <c r="F14" s="4" t="s">
        <v>1297</v>
      </c>
      <c r="G14" s="4" t="s">
        <v>49</v>
      </c>
      <c r="H14" s="6" t="s">
        <v>328</v>
      </c>
      <c r="I14" s="6" t="s">
        <v>51</v>
      </c>
      <c r="J14" s="5">
        <v>44316</v>
      </c>
      <c r="K14" s="5">
        <v>45412</v>
      </c>
      <c r="L14" s="185" t="s">
        <v>493</v>
      </c>
      <c r="M14" s="594"/>
      <c r="N14" s="42">
        <f t="shared" si="1"/>
        <v>0</v>
      </c>
      <c r="O14" s="595">
        <f t="shared" si="2"/>
        <v>0</v>
      </c>
      <c r="P14" s="241">
        <f t="shared" si="3"/>
        <v>0</v>
      </c>
      <c r="Q14" s="42">
        <f t="shared" si="4"/>
        <v>0</v>
      </c>
      <c r="R14" s="595">
        <f t="shared" si="5"/>
        <v>0</v>
      </c>
      <c r="S14" s="241">
        <f t="shared" si="6"/>
        <v>0</v>
      </c>
      <c r="T14" s="42">
        <f t="shared" si="7"/>
        <v>4884481.25</v>
      </c>
      <c r="U14" s="56">
        <f t="shared" si="8"/>
        <v>4884481.25</v>
      </c>
      <c r="V14" s="42">
        <f t="shared" si="17"/>
        <v>4884481.25</v>
      </c>
      <c r="W14" s="42">
        <f t="shared" si="9"/>
        <v>3457262.25</v>
      </c>
      <c r="X14" s="42">
        <f t="shared" si="10"/>
        <v>8341743.5</v>
      </c>
      <c r="Y14" s="596" t="e">
        <f t="shared" si="11"/>
        <v>#VALUE!</v>
      </c>
      <c r="Z14" s="597">
        <f t="shared" si="12"/>
        <v>8341743.5</v>
      </c>
      <c r="AA14" s="597">
        <f t="shared" si="13"/>
        <v>12628253.5</v>
      </c>
      <c r="AB14" s="597">
        <f t="shared" si="14"/>
        <v>20969997</v>
      </c>
      <c r="AC14" s="596" t="e">
        <f t="shared" si="18"/>
        <v>#VALUE!</v>
      </c>
      <c r="AD14" s="596"/>
      <c r="AE14" s="596"/>
      <c r="AF14" s="596"/>
      <c r="AG14" s="596"/>
      <c r="AH14" s="158">
        <v>0</v>
      </c>
      <c r="AI14" s="44">
        <v>36</v>
      </c>
      <c r="AJ14" s="44" t="s">
        <v>1304</v>
      </c>
      <c r="AK14" s="44">
        <v>0</v>
      </c>
      <c r="AL14" s="44">
        <v>0</v>
      </c>
      <c r="AM14" s="44" t="s">
        <v>53</v>
      </c>
      <c r="AN14" s="44" t="s">
        <v>53</v>
      </c>
      <c r="AO14" s="44" t="s">
        <v>53</v>
      </c>
      <c r="AP14" s="44" t="s">
        <v>54</v>
      </c>
      <c r="AQ14" s="6" t="s">
        <v>70</v>
      </c>
      <c r="AR14" s="9"/>
      <c r="AS14" s="9"/>
      <c r="AT14" s="9"/>
      <c r="AU14" s="9"/>
      <c r="AV14" s="9"/>
      <c r="AW14" s="9"/>
      <c r="AX14" s="9"/>
      <c r="AY14" s="9"/>
      <c r="AZ14" s="9"/>
      <c r="BA14" s="9"/>
      <c r="BB14" s="9"/>
      <c r="BC14" s="9"/>
      <c r="BD14" s="100">
        <f t="shared" si="19"/>
        <v>0</v>
      </c>
      <c r="BE14" s="39"/>
      <c r="BF14" s="39"/>
      <c r="BG14" s="39"/>
      <c r="BH14" s="39"/>
      <c r="BI14" s="39"/>
      <c r="BJ14" s="39"/>
      <c r="BK14" s="39"/>
      <c r="BL14" s="39"/>
      <c r="BM14" s="39"/>
      <c r="BN14" s="39"/>
      <c r="BO14" s="39"/>
      <c r="BP14" s="39"/>
      <c r="BQ14" s="530">
        <f t="shared" si="20"/>
        <v>0</v>
      </c>
      <c r="BR14" s="9"/>
      <c r="BS14" s="9"/>
      <c r="BT14" s="9"/>
      <c r="BU14" s="9">
        <f>1114925+1294468.75+1228056.25+1247031.25</f>
        <v>4884481.25</v>
      </c>
      <c r="BV14" s="9"/>
      <c r="BW14" s="9"/>
      <c r="BX14" s="9"/>
      <c r="BY14" s="9"/>
      <c r="BZ14" s="9"/>
      <c r="CA14" s="9"/>
      <c r="CB14" s="9"/>
      <c r="CC14" s="598"/>
      <c r="CD14" s="39">
        <f t="shared" si="15"/>
        <v>4884481.25</v>
      </c>
      <c r="CE14" s="39"/>
      <c r="CF14" s="39"/>
      <c r="CG14" s="39">
        <v>1695295.5</v>
      </c>
      <c r="CH14" s="39">
        <v>1761966.75</v>
      </c>
      <c r="CI14" s="39"/>
      <c r="CJ14" s="39"/>
      <c r="CK14" s="39"/>
      <c r="CL14" s="39"/>
      <c r="CM14" s="39"/>
      <c r="CN14" s="39"/>
      <c r="CO14" s="39"/>
      <c r="CP14" s="39"/>
      <c r="CQ14" s="56">
        <f t="shared" si="16"/>
        <v>3457262.25</v>
      </c>
      <c r="CR14" s="4"/>
      <c r="CS14" s="4"/>
      <c r="CT14" s="4">
        <v>1695295.5</v>
      </c>
      <c r="CU14" s="4"/>
      <c r="CV14" s="4">
        <v>1761966.75</v>
      </c>
      <c r="CX14" s="4">
        <v>2280628.25</v>
      </c>
      <c r="CY14" s="4">
        <f>1491837.5+2020745.5</f>
        <v>3512583</v>
      </c>
      <c r="CZ14" s="4">
        <f>1555720+1822060</f>
        <v>3377780</v>
      </c>
      <c r="DA14" s="4"/>
      <c r="DB14" s="4"/>
      <c r="DC14" s="4"/>
      <c r="DD14" s="1">
        <f t="shared" si="0"/>
        <v>12628253.5</v>
      </c>
      <c r="DE14" s="4"/>
      <c r="DF14" s="4"/>
      <c r="DG14" s="4"/>
      <c r="DH14" s="4"/>
      <c r="DI14" s="4"/>
      <c r="DJ14" s="4"/>
      <c r="DK14" s="4"/>
      <c r="DL14" s="4"/>
      <c r="DM14" s="4"/>
      <c r="DN14" s="4"/>
      <c r="DO14" s="4"/>
      <c r="DP14" s="4"/>
      <c r="DQ14" s="4"/>
    </row>
    <row r="15" spans="1:121" s="10" customFormat="1" ht="48" hidden="1" x14ac:dyDescent="0.2">
      <c r="A15" s="360" t="s">
        <v>497</v>
      </c>
      <c r="B15" s="382" t="s">
        <v>107</v>
      </c>
      <c r="C15" s="360" t="s">
        <v>498</v>
      </c>
      <c r="D15" s="360" t="s">
        <v>502</v>
      </c>
      <c r="E15" s="360"/>
      <c r="F15" s="405" t="s">
        <v>293</v>
      </c>
      <c r="G15" s="360" t="s">
        <v>49</v>
      </c>
      <c r="H15" s="382" t="s">
        <v>328</v>
      </c>
      <c r="I15" s="382" t="s">
        <v>51</v>
      </c>
      <c r="J15" s="387">
        <v>44316</v>
      </c>
      <c r="K15" s="387">
        <v>45412</v>
      </c>
      <c r="L15" s="447" t="s">
        <v>493</v>
      </c>
      <c r="M15" s="448"/>
      <c r="N15" s="328">
        <f t="shared" si="1"/>
        <v>0</v>
      </c>
      <c r="O15" s="449">
        <f t="shared" si="2"/>
        <v>0</v>
      </c>
      <c r="P15" s="434">
        <f t="shared" si="3"/>
        <v>0</v>
      </c>
      <c r="Q15" s="328">
        <f t="shared" si="4"/>
        <v>0</v>
      </c>
      <c r="R15" s="449">
        <f t="shared" si="5"/>
        <v>0</v>
      </c>
      <c r="S15" s="434">
        <f t="shared" si="6"/>
        <v>0</v>
      </c>
      <c r="T15" s="328">
        <f t="shared" si="7"/>
        <v>1615393.5</v>
      </c>
      <c r="U15" s="398">
        <f t="shared" si="8"/>
        <v>1615393.5</v>
      </c>
      <c r="V15" s="328">
        <f t="shared" si="17"/>
        <v>1615393.5</v>
      </c>
      <c r="W15" s="328">
        <f t="shared" si="9"/>
        <v>0</v>
      </c>
      <c r="X15" s="328">
        <f t="shared" si="10"/>
        <v>1615393.5</v>
      </c>
      <c r="Y15" s="450" t="e">
        <f t="shared" si="11"/>
        <v>#VALUE!</v>
      </c>
      <c r="Z15" s="451">
        <f t="shared" si="12"/>
        <v>1615393.5</v>
      </c>
      <c r="AA15" s="451">
        <f t="shared" si="13"/>
        <v>0</v>
      </c>
      <c r="AB15" s="451">
        <f t="shared" si="14"/>
        <v>1615393.5</v>
      </c>
      <c r="AC15" s="450" t="e">
        <f t="shared" si="18"/>
        <v>#VALUE!</v>
      </c>
      <c r="AD15" s="450"/>
      <c r="AE15" s="450"/>
      <c r="AF15" s="450"/>
      <c r="AG15" s="450"/>
      <c r="AH15" s="356">
        <v>0</v>
      </c>
      <c r="AI15" s="334">
        <v>36</v>
      </c>
      <c r="AJ15" s="334" t="s">
        <v>1304</v>
      </c>
      <c r="AK15" s="334">
        <v>0</v>
      </c>
      <c r="AL15" s="334">
        <v>0</v>
      </c>
      <c r="AM15" s="334" t="s">
        <v>53</v>
      </c>
      <c r="AN15" s="334" t="s">
        <v>53</v>
      </c>
      <c r="AO15" s="334" t="s">
        <v>53</v>
      </c>
      <c r="AP15" s="334" t="s">
        <v>54</v>
      </c>
      <c r="AQ15" s="382" t="s">
        <v>70</v>
      </c>
      <c r="AR15" s="391"/>
      <c r="AS15" s="391"/>
      <c r="AT15" s="391"/>
      <c r="AU15" s="391"/>
      <c r="AV15" s="391"/>
      <c r="AW15" s="391"/>
      <c r="AX15" s="391"/>
      <c r="AY15" s="391"/>
      <c r="AZ15" s="391"/>
      <c r="BA15" s="391"/>
      <c r="BB15" s="391"/>
      <c r="BC15" s="391"/>
      <c r="BD15" s="386">
        <f t="shared" si="19"/>
        <v>0</v>
      </c>
      <c r="BE15" s="329"/>
      <c r="BF15" s="329"/>
      <c r="BG15" s="329"/>
      <c r="BH15" s="329"/>
      <c r="BI15" s="329"/>
      <c r="BJ15" s="329"/>
      <c r="BK15" s="329"/>
      <c r="BL15" s="329"/>
      <c r="BM15" s="329"/>
      <c r="BN15" s="329"/>
      <c r="BO15" s="329"/>
      <c r="BP15" s="329"/>
      <c r="BQ15" s="392">
        <f t="shared" si="20"/>
        <v>0</v>
      </c>
      <c r="BR15" s="391"/>
      <c r="BS15" s="391"/>
      <c r="BT15" s="391">
        <f>1615393.5</f>
        <v>1615393.5</v>
      </c>
      <c r="BU15" s="391"/>
      <c r="BV15" s="391"/>
      <c r="BW15" s="391"/>
      <c r="BX15" s="391"/>
      <c r="BY15" s="391"/>
      <c r="BZ15" s="391"/>
      <c r="CA15" s="391"/>
      <c r="CB15" s="391"/>
      <c r="CC15" s="452"/>
      <c r="CD15" s="329">
        <f t="shared" si="15"/>
        <v>1615393.5</v>
      </c>
      <c r="CE15" s="329"/>
      <c r="CF15" s="329"/>
      <c r="CG15" s="329"/>
      <c r="CH15" s="329"/>
      <c r="CI15" s="329"/>
      <c r="CJ15" s="329"/>
      <c r="CK15" s="329"/>
      <c r="CL15" s="329"/>
      <c r="CM15" s="329"/>
      <c r="CN15" s="329"/>
      <c r="CO15" s="329"/>
      <c r="CP15" s="329"/>
      <c r="CQ15" s="398">
        <f t="shared" si="16"/>
        <v>0</v>
      </c>
      <c r="CR15" s="360"/>
      <c r="CS15" s="360"/>
      <c r="CT15" s="360"/>
      <c r="CU15" s="360"/>
      <c r="CV15" s="360"/>
      <c r="CW15" s="360"/>
      <c r="CX15" s="360"/>
      <c r="CY15" s="360"/>
      <c r="CZ15" s="360"/>
      <c r="DA15" s="360"/>
      <c r="DB15" s="360"/>
      <c r="DC15" s="360"/>
      <c r="DD15" s="331">
        <f t="shared" si="0"/>
        <v>0</v>
      </c>
      <c r="DE15" s="4"/>
      <c r="DF15" s="4"/>
      <c r="DG15" s="4"/>
      <c r="DH15" s="4"/>
      <c r="DI15" s="4"/>
      <c r="DJ15" s="4"/>
      <c r="DK15" s="4"/>
      <c r="DL15" s="4"/>
      <c r="DM15" s="4"/>
      <c r="DN15" s="4"/>
      <c r="DO15" s="4"/>
      <c r="DP15" s="4"/>
      <c r="DQ15" s="4"/>
    </row>
    <row r="16" spans="1:121" s="10" customFormat="1" ht="48" hidden="1" x14ac:dyDescent="0.2">
      <c r="A16" s="360" t="s">
        <v>497</v>
      </c>
      <c r="B16" s="382" t="s">
        <v>107</v>
      </c>
      <c r="C16" s="360" t="s">
        <v>498</v>
      </c>
      <c r="D16" s="360" t="s">
        <v>145</v>
      </c>
      <c r="E16" s="360"/>
      <c r="F16" s="360" t="s">
        <v>146</v>
      </c>
      <c r="G16" s="360" t="s">
        <v>49</v>
      </c>
      <c r="H16" s="382" t="s">
        <v>328</v>
      </c>
      <c r="I16" s="382" t="s">
        <v>51</v>
      </c>
      <c r="J16" s="387">
        <v>44316</v>
      </c>
      <c r="K16" s="387">
        <v>45412</v>
      </c>
      <c r="L16" s="447" t="s">
        <v>493</v>
      </c>
      <c r="M16" s="448"/>
      <c r="N16" s="328">
        <f t="shared" si="1"/>
        <v>0</v>
      </c>
      <c r="O16" s="449">
        <f t="shared" si="2"/>
        <v>0</v>
      </c>
      <c r="P16" s="434">
        <f t="shared" si="3"/>
        <v>0</v>
      </c>
      <c r="Q16" s="328">
        <f t="shared" si="4"/>
        <v>0</v>
      </c>
      <c r="R16" s="449">
        <f t="shared" si="5"/>
        <v>0</v>
      </c>
      <c r="S16" s="434">
        <f t="shared" si="6"/>
        <v>0</v>
      </c>
      <c r="T16" s="328">
        <f t="shared" si="7"/>
        <v>0</v>
      </c>
      <c r="U16" s="398">
        <f t="shared" si="8"/>
        <v>0</v>
      </c>
      <c r="V16" s="328">
        <f t="shared" si="17"/>
        <v>0</v>
      </c>
      <c r="W16" s="328">
        <f t="shared" si="9"/>
        <v>0</v>
      </c>
      <c r="X16" s="328">
        <f t="shared" si="10"/>
        <v>0</v>
      </c>
      <c r="Y16" s="450" t="e">
        <f t="shared" si="11"/>
        <v>#VALUE!</v>
      </c>
      <c r="Z16" s="451">
        <f t="shared" si="12"/>
        <v>0</v>
      </c>
      <c r="AA16" s="451">
        <f t="shared" si="13"/>
        <v>0</v>
      </c>
      <c r="AB16" s="451">
        <f t="shared" si="14"/>
        <v>0</v>
      </c>
      <c r="AC16" s="450" t="e">
        <f t="shared" si="18"/>
        <v>#VALUE!</v>
      </c>
      <c r="AD16" s="450"/>
      <c r="AE16" s="450"/>
      <c r="AF16" s="450"/>
      <c r="AG16" s="450"/>
      <c r="AH16" s="356">
        <v>0</v>
      </c>
      <c r="AI16" s="334">
        <v>36</v>
      </c>
      <c r="AJ16" s="334" t="s">
        <v>1304</v>
      </c>
      <c r="AK16" s="334">
        <v>0</v>
      </c>
      <c r="AL16" s="334">
        <v>0</v>
      </c>
      <c r="AM16" s="334" t="s">
        <v>53</v>
      </c>
      <c r="AN16" s="334" t="s">
        <v>53</v>
      </c>
      <c r="AO16" s="334" t="s">
        <v>53</v>
      </c>
      <c r="AP16" s="334" t="s">
        <v>54</v>
      </c>
      <c r="AQ16" s="382" t="s">
        <v>70</v>
      </c>
      <c r="AR16" s="391"/>
      <c r="AS16" s="391"/>
      <c r="AT16" s="391"/>
      <c r="AU16" s="391"/>
      <c r="AV16" s="391"/>
      <c r="AW16" s="391"/>
      <c r="AX16" s="391"/>
      <c r="AY16" s="391"/>
      <c r="AZ16" s="391"/>
      <c r="BA16" s="391"/>
      <c r="BB16" s="391"/>
      <c r="BC16" s="391"/>
      <c r="BD16" s="386">
        <f t="shared" si="19"/>
        <v>0</v>
      </c>
      <c r="BE16" s="329"/>
      <c r="BF16" s="329"/>
      <c r="BG16" s="329"/>
      <c r="BH16" s="329"/>
      <c r="BI16" s="329"/>
      <c r="BJ16" s="329"/>
      <c r="BK16" s="329"/>
      <c r="BL16" s="329"/>
      <c r="BM16" s="329"/>
      <c r="BN16" s="329"/>
      <c r="BO16" s="329"/>
      <c r="BP16" s="329"/>
      <c r="BQ16" s="392">
        <f t="shared" si="20"/>
        <v>0</v>
      </c>
      <c r="BR16" s="391"/>
      <c r="BS16" s="391"/>
      <c r="BT16" s="391"/>
      <c r="BU16" s="391"/>
      <c r="BV16" s="391"/>
      <c r="BW16" s="391"/>
      <c r="BX16" s="391"/>
      <c r="BY16" s="391"/>
      <c r="BZ16" s="391"/>
      <c r="CA16" s="391"/>
      <c r="CB16" s="391"/>
      <c r="CC16" s="452"/>
      <c r="CD16" s="329">
        <f t="shared" si="15"/>
        <v>0</v>
      </c>
      <c r="CE16" s="329"/>
      <c r="CF16" s="329"/>
      <c r="CG16" s="329"/>
      <c r="CH16" s="329"/>
      <c r="CI16" s="329"/>
      <c r="CJ16" s="329"/>
      <c r="CK16" s="329"/>
      <c r="CL16" s="329"/>
      <c r="CM16" s="329"/>
      <c r="CN16" s="329"/>
      <c r="CO16" s="329"/>
      <c r="CP16" s="329"/>
      <c r="CQ16" s="398">
        <f t="shared" si="16"/>
        <v>0</v>
      </c>
      <c r="CR16" s="360"/>
      <c r="CS16" s="360"/>
      <c r="CT16" s="360"/>
      <c r="CU16" s="360"/>
      <c r="CV16" s="360"/>
      <c r="CW16" s="360"/>
      <c r="CX16" s="360"/>
      <c r="CY16" s="360"/>
      <c r="CZ16" s="360"/>
      <c r="DA16" s="360"/>
      <c r="DB16" s="360"/>
      <c r="DC16" s="360"/>
      <c r="DD16" s="331">
        <f t="shared" si="0"/>
        <v>0</v>
      </c>
      <c r="DE16" s="4"/>
      <c r="DF16" s="4"/>
      <c r="DG16" s="4"/>
      <c r="DH16" s="4"/>
      <c r="DI16" s="4"/>
      <c r="DJ16" s="4"/>
      <c r="DK16" s="4"/>
      <c r="DL16" s="4"/>
      <c r="DM16" s="4"/>
      <c r="DN16" s="4"/>
      <c r="DO16" s="4"/>
      <c r="DP16" s="4"/>
      <c r="DQ16" s="4"/>
    </row>
    <row r="17" spans="1:121" s="10" customFormat="1" ht="48" hidden="1" x14ac:dyDescent="0.2">
      <c r="A17" s="360" t="s">
        <v>497</v>
      </c>
      <c r="B17" s="382" t="s">
        <v>107</v>
      </c>
      <c r="C17" s="360" t="s">
        <v>498</v>
      </c>
      <c r="D17" s="360" t="s">
        <v>503</v>
      </c>
      <c r="E17" s="360"/>
      <c r="F17" s="360" t="s">
        <v>224</v>
      </c>
      <c r="G17" s="360" t="s">
        <v>49</v>
      </c>
      <c r="H17" s="382" t="s">
        <v>328</v>
      </c>
      <c r="I17" s="382" t="s">
        <v>51</v>
      </c>
      <c r="J17" s="387">
        <v>44316</v>
      </c>
      <c r="K17" s="387">
        <v>45412</v>
      </c>
      <c r="L17" s="447" t="s">
        <v>493</v>
      </c>
      <c r="M17" s="448"/>
      <c r="N17" s="328">
        <f t="shared" si="1"/>
        <v>0</v>
      </c>
      <c r="O17" s="449">
        <f t="shared" si="2"/>
        <v>0</v>
      </c>
      <c r="P17" s="434">
        <f t="shared" si="3"/>
        <v>0</v>
      </c>
      <c r="Q17" s="328">
        <f t="shared" si="4"/>
        <v>0</v>
      </c>
      <c r="R17" s="449">
        <f t="shared" si="5"/>
        <v>0</v>
      </c>
      <c r="S17" s="434">
        <f t="shared" si="6"/>
        <v>0</v>
      </c>
      <c r="T17" s="328">
        <f t="shared" si="7"/>
        <v>3004950</v>
      </c>
      <c r="U17" s="398">
        <f t="shared" si="8"/>
        <v>3004950</v>
      </c>
      <c r="V17" s="328">
        <f t="shared" si="17"/>
        <v>3004950</v>
      </c>
      <c r="W17" s="328">
        <f t="shared" si="9"/>
        <v>0</v>
      </c>
      <c r="X17" s="328">
        <f t="shared" si="10"/>
        <v>3004950</v>
      </c>
      <c r="Y17" s="450" t="e">
        <f t="shared" si="11"/>
        <v>#VALUE!</v>
      </c>
      <c r="Z17" s="451">
        <f t="shared" si="12"/>
        <v>3004950</v>
      </c>
      <c r="AA17" s="451">
        <f t="shared" si="13"/>
        <v>0</v>
      </c>
      <c r="AB17" s="451">
        <f t="shared" si="14"/>
        <v>3004950</v>
      </c>
      <c r="AC17" s="450" t="e">
        <f t="shared" si="18"/>
        <v>#VALUE!</v>
      </c>
      <c r="AD17" s="450"/>
      <c r="AE17" s="450"/>
      <c r="AF17" s="450"/>
      <c r="AG17" s="450"/>
      <c r="AH17" s="356">
        <v>0</v>
      </c>
      <c r="AI17" s="334">
        <v>36</v>
      </c>
      <c r="AJ17" s="334" t="s">
        <v>1304</v>
      </c>
      <c r="AK17" s="334">
        <v>0</v>
      </c>
      <c r="AL17" s="334">
        <v>0</v>
      </c>
      <c r="AM17" s="334" t="s">
        <v>53</v>
      </c>
      <c r="AN17" s="334" t="s">
        <v>53</v>
      </c>
      <c r="AO17" s="334" t="s">
        <v>53</v>
      </c>
      <c r="AP17" s="334" t="s">
        <v>54</v>
      </c>
      <c r="AQ17" s="382" t="s">
        <v>70</v>
      </c>
      <c r="AR17" s="391"/>
      <c r="AS17" s="391"/>
      <c r="AT17" s="391"/>
      <c r="AU17" s="391"/>
      <c r="AV17" s="391"/>
      <c r="AW17" s="391"/>
      <c r="AX17" s="391"/>
      <c r="AY17" s="391"/>
      <c r="AZ17" s="391"/>
      <c r="BA17" s="391"/>
      <c r="BB17" s="391"/>
      <c r="BC17" s="391"/>
      <c r="BD17" s="386">
        <f t="shared" si="19"/>
        <v>0</v>
      </c>
      <c r="BE17" s="329"/>
      <c r="BF17" s="329"/>
      <c r="BG17" s="329"/>
      <c r="BH17" s="329"/>
      <c r="BI17" s="329"/>
      <c r="BJ17" s="329"/>
      <c r="BK17" s="329"/>
      <c r="BL17" s="329"/>
      <c r="BM17" s="329"/>
      <c r="BN17" s="329"/>
      <c r="BO17" s="329"/>
      <c r="BP17" s="329"/>
      <c r="BQ17" s="392">
        <f t="shared" si="20"/>
        <v>0</v>
      </c>
      <c r="BR17" s="391"/>
      <c r="BS17" s="391"/>
      <c r="BT17" s="391">
        <f>1252752.5+520490+1231707.5</f>
        <v>3004950</v>
      </c>
      <c r="BU17" s="391"/>
      <c r="BV17" s="391"/>
      <c r="BW17" s="391"/>
      <c r="BX17" s="391"/>
      <c r="BY17" s="391"/>
      <c r="BZ17" s="391"/>
      <c r="CA17" s="391"/>
      <c r="CB17" s="391"/>
      <c r="CC17" s="452"/>
      <c r="CD17" s="329">
        <f t="shared" si="15"/>
        <v>3004950</v>
      </c>
      <c r="CE17" s="329"/>
      <c r="CF17" s="329"/>
      <c r="CG17" s="329"/>
      <c r="CH17" s="329"/>
      <c r="CI17" s="329"/>
      <c r="CJ17" s="329"/>
      <c r="CK17" s="329"/>
      <c r="CL17" s="329"/>
      <c r="CM17" s="329"/>
      <c r="CN17" s="329"/>
      <c r="CO17" s="329"/>
      <c r="CP17" s="329"/>
      <c r="CQ17" s="398">
        <f t="shared" si="16"/>
        <v>0</v>
      </c>
      <c r="CR17" s="360"/>
      <c r="CS17" s="360"/>
      <c r="CT17" s="360"/>
      <c r="CU17" s="360"/>
      <c r="CV17" s="360"/>
      <c r="CW17" s="360"/>
      <c r="CX17" s="360"/>
      <c r="CY17" s="360"/>
      <c r="CZ17" s="360"/>
      <c r="DA17" s="360"/>
      <c r="DB17" s="360"/>
      <c r="DC17" s="360"/>
      <c r="DD17" s="331">
        <f t="shared" si="0"/>
        <v>0</v>
      </c>
      <c r="DE17" s="4"/>
      <c r="DF17" s="4"/>
      <c r="DG17" s="4"/>
      <c r="DH17" s="4"/>
      <c r="DI17" s="4"/>
      <c r="DJ17" s="4"/>
      <c r="DK17" s="4"/>
      <c r="DL17" s="4"/>
      <c r="DM17" s="4"/>
      <c r="DN17" s="4"/>
      <c r="DO17" s="4"/>
      <c r="DP17" s="4"/>
      <c r="DQ17" s="4"/>
    </row>
    <row r="18" spans="1:121" s="10" customFormat="1" ht="48" hidden="1" x14ac:dyDescent="0.2">
      <c r="A18" s="4" t="s">
        <v>497</v>
      </c>
      <c r="B18" s="6" t="s">
        <v>107</v>
      </c>
      <c r="C18" s="4" t="s">
        <v>498</v>
      </c>
      <c r="D18" s="4" t="s">
        <v>504</v>
      </c>
      <c r="E18" s="4"/>
      <c r="F18" s="4" t="s">
        <v>1298</v>
      </c>
      <c r="G18" s="4" t="s">
        <v>49</v>
      </c>
      <c r="H18" s="6" t="s">
        <v>328</v>
      </c>
      <c r="I18" s="6" t="s">
        <v>51</v>
      </c>
      <c r="J18" s="5">
        <v>44316</v>
      </c>
      <c r="K18" s="5">
        <v>45412</v>
      </c>
      <c r="L18" s="185" t="s">
        <v>493</v>
      </c>
      <c r="M18" s="594"/>
      <c r="N18" s="42">
        <f t="shared" si="1"/>
        <v>0</v>
      </c>
      <c r="O18" s="595">
        <f t="shared" si="2"/>
        <v>0</v>
      </c>
      <c r="P18" s="241">
        <f t="shared" si="3"/>
        <v>0</v>
      </c>
      <c r="Q18" s="42">
        <f t="shared" si="4"/>
        <v>0</v>
      </c>
      <c r="R18" s="595">
        <f t="shared" si="5"/>
        <v>0</v>
      </c>
      <c r="S18" s="241">
        <f t="shared" si="6"/>
        <v>0</v>
      </c>
      <c r="T18" s="42">
        <f t="shared" si="7"/>
        <v>7279615</v>
      </c>
      <c r="U18" s="56">
        <f t="shared" si="8"/>
        <v>7279615</v>
      </c>
      <c r="V18" s="42">
        <f t="shared" si="17"/>
        <v>7279615</v>
      </c>
      <c r="W18" s="42">
        <f t="shared" si="9"/>
        <v>6378874.5</v>
      </c>
      <c r="X18" s="42">
        <f t="shared" si="10"/>
        <v>13658489.5</v>
      </c>
      <c r="Y18" s="596" t="e">
        <f t="shared" si="11"/>
        <v>#VALUE!</v>
      </c>
      <c r="Z18" s="597">
        <f t="shared" si="12"/>
        <v>13658489.5</v>
      </c>
      <c r="AA18" s="597">
        <f t="shared" si="13"/>
        <v>13099920.289999999</v>
      </c>
      <c r="AB18" s="597">
        <f t="shared" si="14"/>
        <v>26758409.789999999</v>
      </c>
      <c r="AC18" s="596" t="e">
        <f t="shared" si="18"/>
        <v>#VALUE!</v>
      </c>
      <c r="AD18" s="596"/>
      <c r="AE18" s="596"/>
      <c r="AF18" s="596"/>
      <c r="AG18" s="596"/>
      <c r="AH18" s="158">
        <v>0</v>
      </c>
      <c r="AI18" s="44">
        <v>36</v>
      </c>
      <c r="AJ18" s="44" t="s">
        <v>1304</v>
      </c>
      <c r="AK18" s="44">
        <v>0</v>
      </c>
      <c r="AL18" s="44">
        <v>0</v>
      </c>
      <c r="AM18" s="44" t="s">
        <v>53</v>
      </c>
      <c r="AN18" s="44" t="s">
        <v>53</v>
      </c>
      <c r="AO18" s="44" t="s">
        <v>53</v>
      </c>
      <c r="AP18" s="44" t="s">
        <v>54</v>
      </c>
      <c r="AQ18" s="6" t="s">
        <v>70</v>
      </c>
      <c r="AR18" s="9"/>
      <c r="AS18" s="9"/>
      <c r="AT18" s="9"/>
      <c r="AU18" s="9"/>
      <c r="AV18" s="9"/>
      <c r="AW18" s="9"/>
      <c r="AX18" s="9"/>
      <c r="AY18" s="9"/>
      <c r="AZ18" s="9"/>
      <c r="BA18" s="9"/>
      <c r="BB18" s="9"/>
      <c r="BC18" s="9"/>
      <c r="BD18" s="100">
        <f t="shared" si="19"/>
        <v>0</v>
      </c>
      <c r="BE18" s="39"/>
      <c r="BF18" s="39"/>
      <c r="BG18" s="39"/>
      <c r="BH18" s="39"/>
      <c r="BI18" s="39"/>
      <c r="BJ18" s="39"/>
      <c r="BK18" s="39"/>
      <c r="BL18" s="39"/>
      <c r="BM18" s="39"/>
      <c r="BN18" s="39"/>
      <c r="BO18" s="39"/>
      <c r="BP18" s="39"/>
      <c r="BQ18" s="530">
        <f t="shared" si="20"/>
        <v>0</v>
      </c>
      <c r="BR18" s="9"/>
      <c r="BS18" s="9"/>
      <c r="BT18" s="9">
        <f>1601260+1557100+189750</f>
        <v>3348110</v>
      </c>
      <c r="BU18" s="9"/>
      <c r="BV18" s="9"/>
      <c r="BW18" s="9"/>
      <c r="BX18" s="9"/>
      <c r="BY18" s="9"/>
      <c r="BZ18" s="9"/>
      <c r="CA18" s="9">
        <f>86250+1198875</f>
        <v>1285125</v>
      </c>
      <c r="CB18" s="9">
        <v>247250</v>
      </c>
      <c r="CC18" s="598">
        <f>41556.4+1157893.6+1157893.6+41786.4</f>
        <v>2399130</v>
      </c>
      <c r="CD18" s="39">
        <f t="shared" si="15"/>
        <v>7279615</v>
      </c>
      <c r="CE18" s="281">
        <f>1199680+247250</f>
        <v>1446930</v>
      </c>
      <c r="CF18" s="39">
        <v>1539850</v>
      </c>
      <c r="CG18" s="39">
        <v>1630725.75</v>
      </c>
      <c r="CH18" s="39">
        <v>297850</v>
      </c>
      <c r="CI18" s="39">
        <v>1463518.75</v>
      </c>
      <c r="CJ18" s="39"/>
      <c r="CK18" s="39"/>
      <c r="CL18" s="39"/>
      <c r="CM18" s="39"/>
      <c r="CN18" s="39"/>
      <c r="CO18" s="39"/>
      <c r="CP18" s="39"/>
      <c r="CQ18" s="56">
        <f t="shared" si="16"/>
        <v>6378874.5</v>
      </c>
      <c r="CR18" s="4"/>
      <c r="CS18" s="4">
        <v>1567478.75</v>
      </c>
      <c r="CT18" s="4"/>
      <c r="CU18" s="4">
        <v>1630728.75</v>
      </c>
      <c r="CV18" s="4">
        <v>1463518.75</v>
      </c>
      <c r="CW18" s="4">
        <v>607775.01</v>
      </c>
      <c r="CX18" s="4">
        <v>2373646</v>
      </c>
      <c r="CY18" s="4">
        <v>2370771</v>
      </c>
      <c r="CZ18" s="4">
        <v>563643.78</v>
      </c>
      <c r="DA18" s="4">
        <f>552143.75+1273768.75</f>
        <v>1825912.5</v>
      </c>
      <c r="DB18" s="4">
        <v>696445.75</v>
      </c>
      <c r="DC18" s="4"/>
      <c r="DD18" s="1">
        <f>SUM(CR18:DC18)</f>
        <v>13099920.289999999</v>
      </c>
      <c r="DE18" s="4"/>
      <c r="DF18" s="4"/>
      <c r="DG18" s="4"/>
      <c r="DH18" s="4"/>
      <c r="DI18" s="4"/>
      <c r="DJ18" s="4"/>
      <c r="DK18" s="4"/>
      <c r="DL18" s="4"/>
      <c r="DM18" s="4"/>
      <c r="DN18" s="4"/>
      <c r="DO18" s="4"/>
      <c r="DP18" s="4"/>
      <c r="DQ18" s="4"/>
    </row>
    <row r="19" spans="1:121" s="10" customFormat="1" ht="48" hidden="1" x14ac:dyDescent="0.2">
      <c r="A19" s="360" t="s">
        <v>497</v>
      </c>
      <c r="B19" s="382" t="s">
        <v>107</v>
      </c>
      <c r="C19" s="360" t="s">
        <v>498</v>
      </c>
      <c r="D19" s="360" t="s">
        <v>505</v>
      </c>
      <c r="E19" s="360"/>
      <c r="F19" s="360" t="s">
        <v>1299</v>
      </c>
      <c r="G19" s="360" t="s">
        <v>49</v>
      </c>
      <c r="H19" s="382" t="s">
        <v>328</v>
      </c>
      <c r="I19" s="382" t="s">
        <v>51</v>
      </c>
      <c r="J19" s="387">
        <v>44316</v>
      </c>
      <c r="K19" s="387">
        <v>45412</v>
      </c>
      <c r="L19" s="447" t="s">
        <v>493</v>
      </c>
      <c r="M19" s="448"/>
      <c r="N19" s="328">
        <f t="shared" si="1"/>
        <v>0</v>
      </c>
      <c r="O19" s="449">
        <f t="shared" si="2"/>
        <v>0</v>
      </c>
      <c r="P19" s="434">
        <f t="shared" si="3"/>
        <v>0</v>
      </c>
      <c r="Q19" s="328">
        <f t="shared" si="4"/>
        <v>0</v>
      </c>
      <c r="R19" s="449">
        <f t="shared" si="5"/>
        <v>0</v>
      </c>
      <c r="S19" s="434">
        <f t="shared" si="6"/>
        <v>0</v>
      </c>
      <c r="T19" s="328">
        <f t="shared" si="7"/>
        <v>0</v>
      </c>
      <c r="U19" s="398">
        <f t="shared" si="8"/>
        <v>0</v>
      </c>
      <c r="V19" s="328">
        <f t="shared" si="17"/>
        <v>0</v>
      </c>
      <c r="W19" s="328">
        <f t="shared" si="9"/>
        <v>0</v>
      </c>
      <c r="X19" s="328">
        <f t="shared" si="10"/>
        <v>0</v>
      </c>
      <c r="Y19" s="450" t="e">
        <f t="shared" si="11"/>
        <v>#VALUE!</v>
      </c>
      <c r="Z19" s="451">
        <f t="shared" si="12"/>
        <v>0</v>
      </c>
      <c r="AA19" s="451">
        <f t="shared" si="13"/>
        <v>0</v>
      </c>
      <c r="AB19" s="451">
        <f t="shared" si="14"/>
        <v>0</v>
      </c>
      <c r="AC19" s="450" t="e">
        <f t="shared" si="18"/>
        <v>#VALUE!</v>
      </c>
      <c r="AD19" s="450"/>
      <c r="AE19" s="450"/>
      <c r="AF19" s="450"/>
      <c r="AG19" s="450"/>
      <c r="AH19" s="356">
        <v>0</v>
      </c>
      <c r="AI19" s="334">
        <v>36</v>
      </c>
      <c r="AJ19" s="334" t="s">
        <v>1304</v>
      </c>
      <c r="AK19" s="334">
        <v>0</v>
      </c>
      <c r="AL19" s="334">
        <v>0</v>
      </c>
      <c r="AM19" s="334" t="s">
        <v>53</v>
      </c>
      <c r="AN19" s="334" t="s">
        <v>53</v>
      </c>
      <c r="AO19" s="334" t="s">
        <v>53</v>
      </c>
      <c r="AP19" s="334" t="s">
        <v>54</v>
      </c>
      <c r="AQ19" s="382" t="s">
        <v>70</v>
      </c>
      <c r="AR19" s="391"/>
      <c r="AS19" s="391"/>
      <c r="AT19" s="391"/>
      <c r="AU19" s="391"/>
      <c r="AV19" s="391"/>
      <c r="AW19" s="391"/>
      <c r="AX19" s="391"/>
      <c r="AY19" s="391"/>
      <c r="AZ19" s="391"/>
      <c r="BA19" s="391"/>
      <c r="BB19" s="391"/>
      <c r="BC19" s="391"/>
      <c r="BD19" s="386">
        <f t="shared" si="19"/>
        <v>0</v>
      </c>
      <c r="BE19" s="329"/>
      <c r="BF19" s="329"/>
      <c r="BG19" s="329"/>
      <c r="BH19" s="329"/>
      <c r="BI19" s="329"/>
      <c r="BJ19" s="329"/>
      <c r="BK19" s="329"/>
      <c r="BL19" s="329"/>
      <c r="BM19" s="329"/>
      <c r="BN19" s="329"/>
      <c r="BO19" s="329"/>
      <c r="BP19" s="329"/>
      <c r="BQ19" s="392">
        <f t="shared" si="20"/>
        <v>0</v>
      </c>
      <c r="BR19" s="391"/>
      <c r="BS19" s="391"/>
      <c r="BT19" s="391"/>
      <c r="BU19" s="391"/>
      <c r="BV19" s="391"/>
      <c r="BW19" s="391"/>
      <c r="BX19" s="391"/>
      <c r="BY19" s="391"/>
      <c r="BZ19" s="391"/>
      <c r="CA19" s="391"/>
      <c r="CB19" s="391"/>
      <c r="CC19" s="452"/>
      <c r="CD19" s="329">
        <f t="shared" si="15"/>
        <v>0</v>
      </c>
      <c r="CE19" s="329"/>
      <c r="CF19" s="329"/>
      <c r="CG19" s="329"/>
      <c r="CH19" s="329"/>
      <c r="CI19" s="329"/>
      <c r="CJ19" s="329"/>
      <c r="CK19" s="329"/>
      <c r="CL19" s="329"/>
      <c r="CM19" s="329"/>
      <c r="CN19" s="329"/>
      <c r="CO19" s="329"/>
      <c r="CP19" s="329"/>
      <c r="CQ19" s="398">
        <f t="shared" si="16"/>
        <v>0</v>
      </c>
      <c r="CR19" s="360"/>
      <c r="CS19" s="360"/>
      <c r="CT19" s="360"/>
      <c r="CU19" s="360"/>
      <c r="CV19" s="360"/>
      <c r="CW19" s="360"/>
      <c r="CX19" s="360"/>
      <c r="CY19" s="360"/>
      <c r="CZ19" s="360"/>
      <c r="DA19" s="360"/>
      <c r="DB19" s="360"/>
      <c r="DC19" s="360"/>
      <c r="DD19" s="331">
        <f t="shared" si="0"/>
        <v>0</v>
      </c>
      <c r="DE19" s="4"/>
      <c r="DF19" s="4"/>
      <c r="DG19" s="4"/>
      <c r="DH19" s="4"/>
      <c r="DI19" s="4"/>
      <c r="DJ19" s="4"/>
      <c r="DK19" s="4"/>
      <c r="DL19" s="4"/>
      <c r="DM19" s="4"/>
      <c r="DN19" s="4"/>
      <c r="DO19" s="4"/>
      <c r="DP19" s="4"/>
      <c r="DQ19" s="4"/>
    </row>
    <row r="20" spans="1:121" s="10" customFormat="1" ht="48.75" hidden="1" thickBot="1" x14ac:dyDescent="0.25">
      <c r="A20" s="360" t="s">
        <v>497</v>
      </c>
      <c r="B20" s="382" t="s">
        <v>107</v>
      </c>
      <c r="C20" s="360" t="s">
        <v>498</v>
      </c>
      <c r="D20" s="360" t="s">
        <v>506</v>
      </c>
      <c r="E20" s="360"/>
      <c r="F20" s="360" t="s">
        <v>1300</v>
      </c>
      <c r="G20" s="360" t="s">
        <v>49</v>
      </c>
      <c r="H20" s="382" t="s">
        <v>328</v>
      </c>
      <c r="I20" s="382" t="s">
        <v>51</v>
      </c>
      <c r="J20" s="387">
        <v>44316</v>
      </c>
      <c r="K20" s="387">
        <v>45412</v>
      </c>
      <c r="L20" s="447" t="s">
        <v>493</v>
      </c>
      <c r="M20" s="453"/>
      <c r="N20" s="351">
        <f t="shared" si="1"/>
        <v>0</v>
      </c>
      <c r="O20" s="352">
        <f t="shared" si="2"/>
        <v>0</v>
      </c>
      <c r="P20" s="353">
        <f t="shared" si="3"/>
        <v>0</v>
      </c>
      <c r="Q20" s="351">
        <f t="shared" si="4"/>
        <v>0</v>
      </c>
      <c r="R20" s="393"/>
      <c r="S20" s="353">
        <f>R23</f>
        <v>0</v>
      </c>
      <c r="T20" s="351">
        <f t="shared" si="7"/>
        <v>0</v>
      </c>
      <c r="U20" s="354">
        <f t="shared" si="8"/>
        <v>0</v>
      </c>
      <c r="V20" s="328">
        <f t="shared" si="17"/>
        <v>0</v>
      </c>
      <c r="W20" s="328">
        <f t="shared" si="9"/>
        <v>0</v>
      </c>
      <c r="X20" s="328">
        <f t="shared" si="10"/>
        <v>0</v>
      </c>
      <c r="Y20" s="450" t="e">
        <f t="shared" si="11"/>
        <v>#VALUE!</v>
      </c>
      <c r="Z20" s="451">
        <f t="shared" si="12"/>
        <v>0</v>
      </c>
      <c r="AA20" s="451">
        <f t="shared" si="13"/>
        <v>0</v>
      </c>
      <c r="AB20" s="451">
        <f t="shared" si="14"/>
        <v>0</v>
      </c>
      <c r="AC20" s="450" t="e">
        <f t="shared" si="18"/>
        <v>#VALUE!</v>
      </c>
      <c r="AD20" s="450"/>
      <c r="AE20" s="450"/>
      <c r="AF20" s="450"/>
      <c r="AG20" s="450"/>
      <c r="AH20" s="356">
        <v>0</v>
      </c>
      <c r="AI20" s="334">
        <v>36</v>
      </c>
      <c r="AJ20" s="334" t="s">
        <v>1304</v>
      </c>
      <c r="AK20" s="334">
        <v>0</v>
      </c>
      <c r="AL20" s="334">
        <v>0</v>
      </c>
      <c r="AM20" s="334" t="s">
        <v>53</v>
      </c>
      <c r="AN20" s="334" t="s">
        <v>53</v>
      </c>
      <c r="AO20" s="334" t="s">
        <v>53</v>
      </c>
      <c r="AP20" s="334" t="s">
        <v>54</v>
      </c>
      <c r="AQ20" s="382" t="s">
        <v>70</v>
      </c>
      <c r="AR20" s="391"/>
      <c r="AS20" s="391"/>
      <c r="AT20" s="391"/>
      <c r="AU20" s="391"/>
      <c r="AV20" s="391"/>
      <c r="AW20" s="391"/>
      <c r="AX20" s="391"/>
      <c r="AY20" s="391"/>
      <c r="AZ20" s="391"/>
      <c r="BA20" s="391"/>
      <c r="BB20" s="391"/>
      <c r="BC20" s="391"/>
      <c r="BD20" s="386">
        <f t="shared" si="19"/>
        <v>0</v>
      </c>
      <c r="BE20" s="329"/>
      <c r="BF20" s="329"/>
      <c r="BG20" s="329"/>
      <c r="BH20" s="329"/>
      <c r="BI20" s="329"/>
      <c r="BJ20" s="329"/>
      <c r="BK20" s="329"/>
      <c r="BL20" s="329"/>
      <c r="BM20" s="329"/>
      <c r="BN20" s="329"/>
      <c r="BO20" s="329"/>
      <c r="BP20" s="329"/>
      <c r="BQ20" s="392">
        <f t="shared" si="20"/>
        <v>0</v>
      </c>
      <c r="BR20" s="391"/>
      <c r="BS20" s="391"/>
      <c r="BT20" s="391"/>
      <c r="BU20" s="391"/>
      <c r="BV20" s="391"/>
      <c r="BW20" s="391"/>
      <c r="BX20" s="391"/>
      <c r="BY20" s="391"/>
      <c r="BZ20" s="391"/>
      <c r="CA20" s="391"/>
      <c r="CB20" s="391"/>
      <c r="CC20" s="452"/>
      <c r="CD20" s="329">
        <f t="shared" si="15"/>
        <v>0</v>
      </c>
      <c r="CE20" s="329"/>
      <c r="CF20" s="329"/>
      <c r="CG20" s="329"/>
      <c r="CH20" s="329"/>
      <c r="CI20" s="329"/>
      <c r="CJ20" s="329"/>
      <c r="CK20" s="329"/>
      <c r="CL20" s="329"/>
      <c r="CM20" s="329"/>
      <c r="CN20" s="329"/>
      <c r="CO20" s="329"/>
      <c r="CP20" s="329"/>
      <c r="CQ20" s="398">
        <f t="shared" si="16"/>
        <v>0</v>
      </c>
      <c r="CR20" s="360"/>
      <c r="CS20" s="360"/>
      <c r="CT20" s="360"/>
      <c r="CU20" s="360"/>
      <c r="CV20" s="360"/>
      <c r="CW20" s="360"/>
      <c r="CX20" s="360"/>
      <c r="CY20" s="360"/>
      <c r="CZ20" s="360"/>
      <c r="DA20" s="360"/>
      <c r="DB20" s="360"/>
      <c r="DC20" s="360"/>
      <c r="DD20" s="331">
        <f t="shared" si="0"/>
        <v>0</v>
      </c>
      <c r="DE20" s="4"/>
      <c r="DF20" s="4"/>
      <c r="DG20" s="4"/>
      <c r="DH20" s="4"/>
      <c r="DI20" s="4"/>
      <c r="DJ20" s="4"/>
      <c r="DK20" s="4"/>
      <c r="DL20" s="4"/>
      <c r="DM20" s="4"/>
      <c r="DN20" s="4"/>
      <c r="DO20" s="4"/>
      <c r="DP20" s="4"/>
      <c r="DQ20" s="4"/>
    </row>
    <row r="21" spans="1:121" ht="12.75" thickBot="1" x14ac:dyDescent="0.25">
      <c r="A21" s="359"/>
      <c r="B21" s="359"/>
      <c r="C21" s="371" t="s">
        <v>1329</v>
      </c>
      <c r="D21" s="359"/>
      <c r="E21" s="359"/>
      <c r="F21" s="359"/>
      <c r="G21" s="359"/>
      <c r="H21" s="359"/>
      <c r="I21" s="359"/>
      <c r="J21" s="403"/>
      <c r="K21" s="403" t="s">
        <v>1394</v>
      </c>
      <c r="L21" s="442"/>
      <c r="M21" s="355"/>
      <c r="N21" s="351">
        <f t="shared" si="1"/>
        <v>0</v>
      </c>
      <c r="O21" s="352">
        <f t="shared" si="2"/>
        <v>0</v>
      </c>
      <c r="P21" s="353">
        <f t="shared" si="3"/>
        <v>0</v>
      </c>
      <c r="Q21" s="351">
        <f t="shared" si="4"/>
        <v>0</v>
      </c>
      <c r="R21" s="352">
        <f>P34+Q34</f>
        <v>0</v>
      </c>
      <c r="S21" s="353">
        <f>R21</f>
        <v>0</v>
      </c>
      <c r="T21" s="351">
        <f t="shared" si="7"/>
        <v>0</v>
      </c>
      <c r="U21" s="354">
        <f t="shared" si="8"/>
        <v>0</v>
      </c>
      <c r="V21" s="328">
        <f t="shared" si="17"/>
        <v>0</v>
      </c>
      <c r="W21" s="410"/>
      <c r="X21" s="444"/>
      <c r="Y21" s="450">
        <f t="shared" si="11"/>
        <v>0</v>
      </c>
      <c r="Z21" s="451">
        <f t="shared" si="12"/>
        <v>0</v>
      </c>
      <c r="AA21" s="451">
        <f t="shared" si="13"/>
        <v>0</v>
      </c>
      <c r="AB21" s="451">
        <f t="shared" si="14"/>
        <v>0</v>
      </c>
      <c r="AC21" s="450">
        <f t="shared" si="18"/>
        <v>0</v>
      </c>
      <c r="AD21" s="652"/>
      <c r="AE21" s="652"/>
      <c r="AF21" s="652"/>
      <c r="AG21" s="652"/>
      <c r="AH21" s="359"/>
      <c r="AI21" s="403"/>
      <c r="AJ21" s="403"/>
      <c r="AK21" s="403"/>
      <c r="AL21" s="403"/>
      <c r="AM21" s="403"/>
      <c r="AN21" s="403"/>
      <c r="AO21" s="403"/>
      <c r="AP21" s="403"/>
      <c r="AQ21" s="359"/>
      <c r="AR21" s="446"/>
      <c r="AS21" s="409"/>
      <c r="AT21" s="409"/>
      <c r="AU21" s="409"/>
      <c r="AV21" s="409"/>
      <c r="AW21" s="409"/>
      <c r="AX21" s="409"/>
      <c r="AY21" s="409"/>
      <c r="AZ21" s="409"/>
      <c r="BA21" s="409"/>
      <c r="BB21" s="409"/>
      <c r="BC21" s="409"/>
      <c r="BD21" s="417"/>
      <c r="BE21" s="409"/>
      <c r="BF21" s="409"/>
      <c r="BG21" s="409"/>
      <c r="BH21" s="409"/>
      <c r="BI21" s="409"/>
      <c r="BJ21" s="409"/>
      <c r="BK21" s="409"/>
      <c r="BL21" s="409"/>
      <c r="BM21" s="409"/>
      <c r="BN21" s="409"/>
      <c r="BO21" s="409"/>
      <c r="BP21" s="409"/>
      <c r="BQ21" s="411"/>
      <c r="BR21" s="409"/>
      <c r="BS21" s="409"/>
      <c r="BT21" s="409"/>
      <c r="BU21" s="409"/>
      <c r="BV21" s="409"/>
      <c r="BW21" s="409"/>
      <c r="BX21" s="409"/>
      <c r="BY21" s="409"/>
      <c r="BZ21" s="409"/>
      <c r="CA21" s="409"/>
      <c r="CB21" s="409"/>
      <c r="CC21" s="409"/>
      <c r="CD21" s="409"/>
      <c r="CE21" s="359"/>
      <c r="CF21" s="359"/>
      <c r="CG21" s="359"/>
      <c r="CH21" s="359"/>
      <c r="CI21" s="359"/>
      <c r="CJ21" s="359"/>
      <c r="CK21" s="359"/>
      <c r="CL21" s="359"/>
      <c r="CM21" s="359"/>
      <c r="CN21" s="359"/>
      <c r="CO21" s="359"/>
      <c r="CP21" s="359"/>
      <c r="CQ21" s="359"/>
      <c r="CR21" s="331"/>
      <c r="CS21" s="331"/>
      <c r="CT21" s="331"/>
      <c r="CU21" s="331"/>
      <c r="CV21" s="331"/>
      <c r="CW21" s="331"/>
      <c r="CX21" s="331"/>
      <c r="CY21" s="331"/>
      <c r="CZ21" s="331"/>
      <c r="DA21" s="331"/>
      <c r="DB21" s="331"/>
      <c r="DC21" s="331"/>
      <c r="DD21" s="331">
        <f t="shared" si="0"/>
        <v>0</v>
      </c>
      <c r="DE21" s="1"/>
      <c r="DF21" s="1"/>
      <c r="DG21" s="1"/>
      <c r="DH21" s="1"/>
      <c r="DI21" s="1"/>
      <c r="DJ21" s="1"/>
      <c r="DK21" s="1"/>
      <c r="DL21" s="1"/>
      <c r="DM21" s="1"/>
      <c r="DN21" s="1"/>
      <c r="DO21" s="1"/>
      <c r="DP21" s="1"/>
      <c r="DQ21" s="1"/>
    </row>
    <row r="22" spans="1:121" s="10" customFormat="1" ht="48.75" thickBot="1" x14ac:dyDescent="0.25">
      <c r="A22" s="840" t="s">
        <v>1351</v>
      </c>
      <c r="B22" s="843"/>
      <c r="C22" s="840" t="s">
        <v>1352</v>
      </c>
      <c r="D22" s="360" t="s">
        <v>1353</v>
      </c>
      <c r="E22" s="360"/>
      <c r="F22" s="360" t="s">
        <v>200</v>
      </c>
      <c r="G22" s="840" t="s">
        <v>49</v>
      </c>
      <c r="H22" s="843" t="s">
        <v>284</v>
      </c>
      <c r="I22" s="843" t="s">
        <v>363</v>
      </c>
      <c r="J22" s="846">
        <v>44732</v>
      </c>
      <c r="K22" s="851">
        <v>45828</v>
      </c>
      <c r="L22" s="349" t="s">
        <v>493</v>
      </c>
      <c r="M22" s="454"/>
      <c r="N22" s="351">
        <f t="shared" si="1"/>
        <v>0</v>
      </c>
      <c r="O22" s="352">
        <f t="shared" si="2"/>
        <v>0</v>
      </c>
      <c r="P22" s="353">
        <f t="shared" si="3"/>
        <v>0</v>
      </c>
      <c r="Q22" s="351">
        <f t="shared" si="4"/>
        <v>0</v>
      </c>
      <c r="R22" s="393"/>
      <c r="S22" s="353">
        <f t="shared" ref="S22:S27" si="21">R24</f>
        <v>0</v>
      </c>
      <c r="T22" s="351">
        <f t="shared" si="7"/>
        <v>0</v>
      </c>
      <c r="U22" s="354">
        <f t="shared" si="8"/>
        <v>0</v>
      </c>
      <c r="V22" s="328">
        <f t="shared" si="17"/>
        <v>0</v>
      </c>
      <c r="W22" s="328">
        <f t="shared" ref="W22:W35" si="22">CQ22</f>
        <v>0</v>
      </c>
      <c r="X22" s="328">
        <f t="shared" ref="X22:X35" si="23">V22+W22</f>
        <v>0</v>
      </c>
      <c r="Y22" s="450" t="e">
        <f t="shared" si="11"/>
        <v>#VALUE!</v>
      </c>
      <c r="Z22" s="451">
        <f t="shared" si="12"/>
        <v>0</v>
      </c>
      <c r="AA22" s="451">
        <f t="shared" si="13"/>
        <v>0</v>
      </c>
      <c r="AB22" s="451">
        <f t="shared" si="14"/>
        <v>0</v>
      </c>
      <c r="AC22" s="450" t="e">
        <f t="shared" si="18"/>
        <v>#VALUE!</v>
      </c>
      <c r="AD22" s="450"/>
      <c r="AE22" s="450"/>
      <c r="AF22" s="450"/>
      <c r="AG22" s="450"/>
      <c r="AH22" s="356">
        <v>0</v>
      </c>
      <c r="AI22" s="334">
        <v>36</v>
      </c>
      <c r="AJ22" s="334" t="s">
        <v>1304</v>
      </c>
      <c r="AK22" s="334">
        <v>0</v>
      </c>
      <c r="AL22" s="334">
        <v>0</v>
      </c>
      <c r="AM22" s="334" t="s">
        <v>53</v>
      </c>
      <c r="AN22" s="334" t="s">
        <v>53</v>
      </c>
      <c r="AO22" s="334" t="s">
        <v>53</v>
      </c>
      <c r="AP22" s="334" t="s">
        <v>54</v>
      </c>
      <c r="AQ22" s="382" t="s">
        <v>70</v>
      </c>
      <c r="AR22" s="415"/>
      <c r="AS22" s="415"/>
      <c r="AT22" s="415"/>
      <c r="AU22" s="415"/>
      <c r="AV22" s="415"/>
      <c r="AW22" s="415"/>
      <c r="AX22" s="415"/>
      <c r="AY22" s="415"/>
      <c r="AZ22" s="415"/>
      <c r="BA22" s="415"/>
      <c r="BB22" s="415"/>
      <c r="BC22" s="415"/>
      <c r="BD22" s="414"/>
      <c r="BE22" s="415"/>
      <c r="BF22" s="415"/>
      <c r="BG22" s="415"/>
      <c r="BH22" s="415"/>
      <c r="BI22" s="415"/>
      <c r="BJ22" s="415"/>
      <c r="BK22" s="415"/>
      <c r="BL22" s="415"/>
      <c r="BM22" s="415"/>
      <c r="BN22" s="415"/>
      <c r="BO22" s="415"/>
      <c r="BP22" s="415"/>
      <c r="BQ22" s="416"/>
      <c r="BR22" s="415"/>
      <c r="BS22" s="415"/>
      <c r="BT22" s="415"/>
      <c r="BU22" s="415"/>
      <c r="BV22" s="415"/>
      <c r="BW22" s="415"/>
      <c r="BX22" s="415"/>
      <c r="BY22" s="415"/>
      <c r="BZ22" s="415"/>
      <c r="CA22" s="415"/>
      <c r="CB22" s="415"/>
      <c r="CC22" s="415"/>
      <c r="CD22" s="415"/>
      <c r="CE22" s="329"/>
      <c r="CF22" s="329"/>
      <c r="CG22" s="329"/>
      <c r="CH22" s="329"/>
      <c r="CI22" s="329"/>
      <c r="CJ22" s="329"/>
      <c r="CK22" s="329"/>
      <c r="CL22" s="329"/>
      <c r="CM22" s="329"/>
      <c r="CN22" s="329"/>
      <c r="CO22" s="329"/>
      <c r="CP22" s="329"/>
      <c r="CQ22" s="398">
        <f t="shared" ref="CQ22:CQ35" si="24">SUM(CE22:CP22)</f>
        <v>0</v>
      </c>
      <c r="CR22" s="360"/>
      <c r="CS22" s="360"/>
      <c r="CT22" s="360"/>
      <c r="CU22" s="360"/>
      <c r="CV22" s="360"/>
      <c r="CW22" s="360"/>
      <c r="CX22" s="360"/>
      <c r="CY22" s="360"/>
      <c r="CZ22" s="360"/>
      <c r="DA22" s="360"/>
      <c r="DB22" s="360"/>
      <c r="DC22" s="360"/>
      <c r="DD22" s="331">
        <f t="shared" si="0"/>
        <v>0</v>
      </c>
      <c r="DE22" s="4"/>
      <c r="DF22" s="4"/>
      <c r="DG22" s="4"/>
      <c r="DH22" s="4"/>
      <c r="DI22" s="4"/>
      <c r="DJ22" s="4"/>
      <c r="DK22" s="4"/>
      <c r="DL22" s="4"/>
      <c r="DM22" s="4"/>
      <c r="DN22" s="4"/>
      <c r="DO22" s="4"/>
      <c r="DP22" s="4"/>
      <c r="DQ22" s="4"/>
    </row>
    <row r="23" spans="1:121" ht="48.75" thickBot="1" x14ac:dyDescent="0.25">
      <c r="A23" s="841"/>
      <c r="B23" s="844"/>
      <c r="C23" s="841"/>
      <c r="D23" s="360" t="s">
        <v>1354</v>
      </c>
      <c r="E23" s="360"/>
      <c r="F23" s="331" t="s">
        <v>1375</v>
      </c>
      <c r="G23" s="841"/>
      <c r="H23" s="844"/>
      <c r="I23" s="844"/>
      <c r="J23" s="847"/>
      <c r="K23" s="852"/>
      <c r="L23" s="349" t="s">
        <v>493</v>
      </c>
      <c r="M23" s="355"/>
      <c r="N23" s="351">
        <f t="shared" si="1"/>
        <v>0</v>
      </c>
      <c r="O23" s="352">
        <f t="shared" si="2"/>
        <v>0</v>
      </c>
      <c r="P23" s="353">
        <f t="shared" si="3"/>
        <v>0</v>
      </c>
      <c r="Q23" s="351">
        <f t="shared" si="4"/>
        <v>0</v>
      </c>
      <c r="R23" s="352">
        <f>P20+Q20</f>
        <v>0</v>
      </c>
      <c r="S23" s="353">
        <f t="shared" si="21"/>
        <v>0</v>
      </c>
      <c r="T23" s="351">
        <f t="shared" si="7"/>
        <v>0</v>
      </c>
      <c r="U23" s="354">
        <f t="shared" si="8"/>
        <v>0</v>
      </c>
      <c r="V23" s="328">
        <f t="shared" si="17"/>
        <v>0</v>
      </c>
      <c r="W23" s="328">
        <f t="shared" si="22"/>
        <v>0</v>
      </c>
      <c r="X23" s="328">
        <f t="shared" si="23"/>
        <v>0</v>
      </c>
      <c r="Y23" s="450" t="e">
        <f t="shared" si="11"/>
        <v>#VALUE!</v>
      </c>
      <c r="Z23" s="451">
        <f t="shared" si="12"/>
        <v>0</v>
      </c>
      <c r="AA23" s="451">
        <f t="shared" si="13"/>
        <v>0</v>
      </c>
      <c r="AB23" s="451">
        <f t="shared" si="14"/>
        <v>0</v>
      </c>
      <c r="AC23" s="450" t="e">
        <f t="shared" si="18"/>
        <v>#VALUE!</v>
      </c>
      <c r="AD23" s="450"/>
      <c r="AE23" s="450"/>
      <c r="AF23" s="450"/>
      <c r="AG23" s="450"/>
      <c r="AH23" s="356">
        <v>0</v>
      </c>
      <c r="AI23" s="334">
        <v>36</v>
      </c>
      <c r="AJ23" s="334" t="s">
        <v>1304</v>
      </c>
      <c r="AK23" s="334">
        <v>0</v>
      </c>
      <c r="AL23" s="334">
        <v>0</v>
      </c>
      <c r="AM23" s="334" t="s">
        <v>53</v>
      </c>
      <c r="AN23" s="334" t="s">
        <v>53</v>
      </c>
      <c r="AO23" s="334" t="s">
        <v>53</v>
      </c>
      <c r="AP23" s="334" t="s">
        <v>54</v>
      </c>
      <c r="AQ23" s="382" t="s">
        <v>70</v>
      </c>
      <c r="AR23" s="446"/>
      <c r="AS23" s="409"/>
      <c r="AT23" s="409"/>
      <c r="AU23" s="409"/>
      <c r="AV23" s="409"/>
      <c r="AW23" s="409"/>
      <c r="AX23" s="409"/>
      <c r="AY23" s="409"/>
      <c r="AZ23" s="409"/>
      <c r="BA23" s="409"/>
      <c r="BB23" s="409"/>
      <c r="BC23" s="409"/>
      <c r="BD23" s="417"/>
      <c r="BE23" s="409"/>
      <c r="BF23" s="409"/>
      <c r="BG23" s="409"/>
      <c r="BH23" s="409"/>
      <c r="BI23" s="409"/>
      <c r="BJ23" s="409"/>
      <c r="BK23" s="409"/>
      <c r="BL23" s="409"/>
      <c r="BM23" s="409"/>
      <c r="BN23" s="409"/>
      <c r="BO23" s="409"/>
      <c r="BP23" s="409"/>
      <c r="BQ23" s="411"/>
      <c r="BR23" s="409"/>
      <c r="BS23" s="409"/>
      <c r="BT23" s="409"/>
      <c r="BU23" s="409"/>
      <c r="BV23" s="409"/>
      <c r="BW23" s="409"/>
      <c r="BX23" s="409"/>
      <c r="BY23" s="409"/>
      <c r="BZ23" s="409"/>
      <c r="CA23" s="409"/>
      <c r="CB23" s="409"/>
      <c r="CC23" s="409"/>
      <c r="CD23" s="409"/>
      <c r="CE23" s="329"/>
      <c r="CF23" s="329"/>
      <c r="CG23" s="329"/>
      <c r="CH23" s="329"/>
      <c r="CI23" s="329"/>
      <c r="CJ23" s="329"/>
      <c r="CK23" s="329"/>
      <c r="CL23" s="329"/>
      <c r="CM23" s="329"/>
      <c r="CN23" s="329"/>
      <c r="CO23" s="329"/>
      <c r="CP23" s="329"/>
      <c r="CQ23" s="398">
        <f t="shared" si="24"/>
        <v>0</v>
      </c>
      <c r="CR23" s="331"/>
      <c r="CS23" s="331"/>
      <c r="CT23" s="331"/>
      <c r="CU23" s="331"/>
      <c r="CV23" s="331"/>
      <c r="CW23" s="331"/>
      <c r="CX23" s="331"/>
      <c r="CY23" s="331"/>
      <c r="CZ23" s="331"/>
      <c r="DA23" s="331"/>
      <c r="DB23" s="331"/>
      <c r="DC23" s="331"/>
      <c r="DD23" s="331">
        <f t="shared" si="0"/>
        <v>0</v>
      </c>
      <c r="DE23" s="1"/>
      <c r="DF23" s="1"/>
      <c r="DG23" s="1"/>
      <c r="DH23" s="1"/>
      <c r="DI23" s="1"/>
      <c r="DJ23" s="1"/>
      <c r="DK23" s="1"/>
      <c r="DL23" s="1"/>
      <c r="DM23" s="1"/>
      <c r="DN23" s="1"/>
      <c r="DO23" s="1"/>
      <c r="DP23" s="1"/>
      <c r="DQ23" s="1"/>
    </row>
    <row r="24" spans="1:121" ht="48.75" thickBot="1" x14ac:dyDescent="0.25">
      <c r="A24" s="841"/>
      <c r="B24" s="844"/>
      <c r="C24" s="841"/>
      <c r="D24" s="360" t="s">
        <v>1355</v>
      </c>
      <c r="E24" s="360"/>
      <c r="F24" s="331" t="s">
        <v>136</v>
      </c>
      <c r="G24" s="841"/>
      <c r="H24" s="844"/>
      <c r="I24" s="844"/>
      <c r="J24" s="847"/>
      <c r="K24" s="852"/>
      <c r="L24" s="349" t="s">
        <v>493</v>
      </c>
      <c r="M24" s="355"/>
      <c r="N24" s="351">
        <f t="shared" si="1"/>
        <v>0</v>
      </c>
      <c r="O24" s="352">
        <f t="shared" si="2"/>
        <v>0</v>
      </c>
      <c r="P24" s="353">
        <f t="shared" si="3"/>
        <v>0</v>
      </c>
      <c r="Q24" s="351">
        <f t="shared" si="4"/>
        <v>0</v>
      </c>
      <c r="R24" s="352">
        <f t="shared" ref="R24:R35" si="25">P22+Q22</f>
        <v>0</v>
      </c>
      <c r="S24" s="353">
        <f t="shared" si="21"/>
        <v>0</v>
      </c>
      <c r="T24" s="351">
        <f t="shared" si="7"/>
        <v>0</v>
      </c>
      <c r="U24" s="354">
        <f t="shared" si="8"/>
        <v>0</v>
      </c>
      <c r="V24" s="328">
        <f t="shared" si="17"/>
        <v>0</v>
      </c>
      <c r="W24" s="328">
        <f t="shared" si="22"/>
        <v>0</v>
      </c>
      <c r="X24" s="328">
        <f t="shared" si="23"/>
        <v>0</v>
      </c>
      <c r="Y24" s="450" t="e">
        <f t="shared" si="11"/>
        <v>#VALUE!</v>
      </c>
      <c r="Z24" s="451">
        <f t="shared" si="12"/>
        <v>0</v>
      </c>
      <c r="AA24" s="451">
        <f t="shared" si="13"/>
        <v>0</v>
      </c>
      <c r="AB24" s="451">
        <f t="shared" si="14"/>
        <v>0</v>
      </c>
      <c r="AC24" s="450" t="e">
        <f t="shared" si="18"/>
        <v>#VALUE!</v>
      </c>
      <c r="AD24" s="450"/>
      <c r="AE24" s="450"/>
      <c r="AF24" s="450"/>
      <c r="AG24" s="450"/>
      <c r="AH24" s="356">
        <v>0</v>
      </c>
      <c r="AI24" s="334">
        <v>36</v>
      </c>
      <c r="AJ24" s="334" t="s">
        <v>1304</v>
      </c>
      <c r="AK24" s="334">
        <v>0</v>
      </c>
      <c r="AL24" s="334">
        <v>0</v>
      </c>
      <c r="AM24" s="334" t="s">
        <v>53</v>
      </c>
      <c r="AN24" s="334" t="s">
        <v>53</v>
      </c>
      <c r="AO24" s="334" t="s">
        <v>53</v>
      </c>
      <c r="AP24" s="334" t="s">
        <v>54</v>
      </c>
      <c r="AQ24" s="382" t="s">
        <v>70</v>
      </c>
      <c r="AR24" s="446"/>
      <c r="AS24" s="409"/>
      <c r="AT24" s="409"/>
      <c r="AU24" s="409"/>
      <c r="AV24" s="409"/>
      <c r="AW24" s="409"/>
      <c r="AX24" s="409"/>
      <c r="AY24" s="409"/>
      <c r="AZ24" s="409"/>
      <c r="BA24" s="409"/>
      <c r="BB24" s="409"/>
      <c r="BC24" s="409"/>
      <c r="BD24" s="417"/>
      <c r="BE24" s="409"/>
      <c r="BF24" s="409"/>
      <c r="BG24" s="409"/>
      <c r="BH24" s="409"/>
      <c r="BI24" s="409"/>
      <c r="BJ24" s="409"/>
      <c r="BK24" s="409"/>
      <c r="BL24" s="409"/>
      <c r="BM24" s="409"/>
      <c r="BN24" s="409"/>
      <c r="BO24" s="409"/>
      <c r="BP24" s="409"/>
      <c r="BQ24" s="411"/>
      <c r="BR24" s="409"/>
      <c r="BS24" s="409"/>
      <c r="BT24" s="409"/>
      <c r="BU24" s="409"/>
      <c r="BV24" s="409"/>
      <c r="BW24" s="409"/>
      <c r="BX24" s="409"/>
      <c r="BY24" s="409"/>
      <c r="BZ24" s="409"/>
      <c r="CA24" s="409"/>
      <c r="CB24" s="409"/>
      <c r="CC24" s="409"/>
      <c r="CD24" s="409"/>
      <c r="CE24" s="329"/>
      <c r="CF24" s="329"/>
      <c r="CG24" s="329"/>
      <c r="CH24" s="329"/>
      <c r="CI24" s="329"/>
      <c r="CJ24" s="329"/>
      <c r="CK24" s="329"/>
      <c r="CL24" s="329"/>
      <c r="CM24" s="329"/>
      <c r="CN24" s="329"/>
      <c r="CO24" s="329"/>
      <c r="CP24" s="329"/>
      <c r="CQ24" s="398">
        <f t="shared" si="24"/>
        <v>0</v>
      </c>
      <c r="CR24" s="331"/>
      <c r="CS24" s="331"/>
      <c r="CT24" s="331"/>
      <c r="CU24" s="331"/>
      <c r="CV24" s="331"/>
      <c r="CW24" s="331"/>
      <c r="CX24" s="331"/>
      <c r="CY24" s="331"/>
      <c r="CZ24" s="331"/>
      <c r="DA24" s="331"/>
      <c r="DB24" s="331"/>
      <c r="DC24" s="331"/>
      <c r="DD24" s="331">
        <f t="shared" si="0"/>
        <v>0</v>
      </c>
      <c r="DE24" s="1"/>
      <c r="DF24" s="1"/>
      <c r="DG24" s="1"/>
      <c r="DH24" s="1"/>
      <c r="DI24" s="1"/>
      <c r="DJ24" s="1"/>
      <c r="DK24" s="1"/>
      <c r="DL24" s="1"/>
      <c r="DM24" s="1"/>
      <c r="DN24" s="1"/>
      <c r="DO24" s="1"/>
      <c r="DP24" s="1"/>
      <c r="DQ24" s="1"/>
    </row>
    <row r="25" spans="1:121" ht="48.75" thickBot="1" x14ac:dyDescent="0.25">
      <c r="A25" s="841"/>
      <c r="B25" s="844"/>
      <c r="C25" s="841"/>
      <c r="D25" s="360" t="s">
        <v>1356</v>
      </c>
      <c r="E25" s="360"/>
      <c r="F25" s="331" t="s">
        <v>603</v>
      </c>
      <c r="G25" s="841"/>
      <c r="H25" s="844"/>
      <c r="I25" s="844"/>
      <c r="J25" s="847"/>
      <c r="K25" s="852"/>
      <c r="L25" s="349" t="s">
        <v>493</v>
      </c>
      <c r="M25" s="355"/>
      <c r="N25" s="351">
        <f t="shared" si="1"/>
        <v>0</v>
      </c>
      <c r="O25" s="352">
        <f t="shared" si="2"/>
        <v>0</v>
      </c>
      <c r="P25" s="353">
        <f t="shared" si="3"/>
        <v>0</v>
      </c>
      <c r="Q25" s="351">
        <f t="shared" si="4"/>
        <v>0</v>
      </c>
      <c r="R25" s="352">
        <f t="shared" si="25"/>
        <v>0</v>
      </c>
      <c r="S25" s="353">
        <f t="shared" si="21"/>
        <v>0</v>
      </c>
      <c r="T25" s="351">
        <f t="shared" si="7"/>
        <v>0</v>
      </c>
      <c r="U25" s="354">
        <f t="shared" si="8"/>
        <v>0</v>
      </c>
      <c r="V25" s="328">
        <f t="shared" si="17"/>
        <v>0</v>
      </c>
      <c r="W25" s="328">
        <f t="shared" si="22"/>
        <v>0</v>
      </c>
      <c r="X25" s="328">
        <f t="shared" si="23"/>
        <v>0</v>
      </c>
      <c r="Y25" s="450" t="e">
        <f t="shared" si="11"/>
        <v>#VALUE!</v>
      </c>
      <c r="Z25" s="451">
        <f t="shared" si="12"/>
        <v>0</v>
      </c>
      <c r="AA25" s="451">
        <f t="shared" si="13"/>
        <v>0</v>
      </c>
      <c r="AB25" s="451">
        <f t="shared" si="14"/>
        <v>0</v>
      </c>
      <c r="AC25" s="450" t="e">
        <f t="shared" si="18"/>
        <v>#VALUE!</v>
      </c>
      <c r="AD25" s="450"/>
      <c r="AE25" s="450"/>
      <c r="AF25" s="450"/>
      <c r="AG25" s="450"/>
      <c r="AH25" s="356">
        <v>0</v>
      </c>
      <c r="AI25" s="334">
        <v>36</v>
      </c>
      <c r="AJ25" s="334" t="s">
        <v>1304</v>
      </c>
      <c r="AK25" s="334">
        <v>0</v>
      </c>
      <c r="AL25" s="334">
        <v>0</v>
      </c>
      <c r="AM25" s="334" t="s">
        <v>53</v>
      </c>
      <c r="AN25" s="334" t="s">
        <v>53</v>
      </c>
      <c r="AO25" s="334" t="s">
        <v>53</v>
      </c>
      <c r="AP25" s="334" t="s">
        <v>54</v>
      </c>
      <c r="AQ25" s="382" t="s">
        <v>70</v>
      </c>
      <c r="AR25" s="446"/>
      <c r="AS25" s="409"/>
      <c r="AT25" s="409"/>
      <c r="AU25" s="409"/>
      <c r="AV25" s="409"/>
      <c r="AW25" s="409"/>
      <c r="AX25" s="409"/>
      <c r="AY25" s="409"/>
      <c r="AZ25" s="409"/>
      <c r="BA25" s="409"/>
      <c r="BB25" s="409"/>
      <c r="BC25" s="409"/>
      <c r="BD25" s="417"/>
      <c r="BE25" s="409"/>
      <c r="BF25" s="409"/>
      <c r="BG25" s="409"/>
      <c r="BH25" s="409"/>
      <c r="BI25" s="409"/>
      <c r="BJ25" s="409"/>
      <c r="BK25" s="409"/>
      <c r="BL25" s="409"/>
      <c r="BM25" s="409"/>
      <c r="BN25" s="409"/>
      <c r="BO25" s="409"/>
      <c r="BP25" s="409"/>
      <c r="BQ25" s="411"/>
      <c r="BR25" s="409"/>
      <c r="BS25" s="409"/>
      <c r="BT25" s="409"/>
      <c r="BU25" s="409"/>
      <c r="BV25" s="409"/>
      <c r="BW25" s="409"/>
      <c r="BX25" s="409"/>
      <c r="BY25" s="409"/>
      <c r="BZ25" s="409"/>
      <c r="CA25" s="409"/>
      <c r="CB25" s="409"/>
      <c r="CC25" s="409"/>
      <c r="CD25" s="409"/>
      <c r="CE25" s="329"/>
      <c r="CF25" s="329"/>
      <c r="CG25" s="329"/>
      <c r="CH25" s="329"/>
      <c r="CI25" s="329"/>
      <c r="CJ25" s="329"/>
      <c r="CK25" s="329"/>
      <c r="CL25" s="329"/>
      <c r="CM25" s="329"/>
      <c r="CN25" s="329"/>
      <c r="CO25" s="329"/>
      <c r="CP25" s="329"/>
      <c r="CQ25" s="398">
        <f t="shared" si="24"/>
        <v>0</v>
      </c>
      <c r="CR25" s="331"/>
      <c r="CS25" s="331"/>
      <c r="CT25" s="331"/>
      <c r="CU25" s="331"/>
      <c r="CV25" s="331"/>
      <c r="CW25" s="331"/>
      <c r="CX25" s="331"/>
      <c r="CY25" s="331"/>
      <c r="CZ25" s="331"/>
      <c r="DA25" s="331"/>
      <c r="DB25" s="331"/>
      <c r="DC25" s="331"/>
      <c r="DD25" s="331">
        <f t="shared" si="0"/>
        <v>0</v>
      </c>
      <c r="DE25" s="1"/>
      <c r="DF25" s="1"/>
      <c r="DG25" s="1"/>
      <c r="DH25" s="1"/>
      <c r="DI25" s="1"/>
      <c r="DJ25" s="1"/>
      <c r="DK25" s="1"/>
      <c r="DL25" s="1"/>
      <c r="DM25" s="1"/>
      <c r="DN25" s="1"/>
      <c r="DO25" s="1"/>
      <c r="DP25" s="1"/>
      <c r="DQ25" s="1"/>
    </row>
    <row r="26" spans="1:121" ht="48.75" thickBot="1" x14ac:dyDescent="0.25">
      <c r="A26" s="841"/>
      <c r="B26" s="844"/>
      <c r="C26" s="841"/>
      <c r="D26" s="360" t="s">
        <v>1357</v>
      </c>
      <c r="E26" s="360"/>
      <c r="F26" s="331" t="s">
        <v>1376</v>
      </c>
      <c r="G26" s="841"/>
      <c r="H26" s="844"/>
      <c r="I26" s="844"/>
      <c r="J26" s="847"/>
      <c r="K26" s="852"/>
      <c r="L26" s="349" t="s">
        <v>493</v>
      </c>
      <c r="M26" s="355"/>
      <c r="N26" s="351">
        <f t="shared" si="1"/>
        <v>0</v>
      </c>
      <c r="O26" s="352">
        <f t="shared" si="2"/>
        <v>0</v>
      </c>
      <c r="P26" s="353">
        <f t="shared" si="3"/>
        <v>0</v>
      </c>
      <c r="Q26" s="351">
        <f t="shared" si="4"/>
        <v>0</v>
      </c>
      <c r="R26" s="352">
        <f t="shared" si="25"/>
        <v>0</v>
      </c>
      <c r="S26" s="353">
        <f t="shared" si="21"/>
        <v>0</v>
      </c>
      <c r="T26" s="351">
        <f t="shared" si="7"/>
        <v>0</v>
      </c>
      <c r="U26" s="354">
        <f t="shared" si="8"/>
        <v>0</v>
      </c>
      <c r="V26" s="328">
        <f t="shared" si="17"/>
        <v>0</v>
      </c>
      <c r="W26" s="328">
        <f t="shared" si="22"/>
        <v>0</v>
      </c>
      <c r="X26" s="328">
        <f t="shared" si="23"/>
        <v>0</v>
      </c>
      <c r="Y26" s="450" t="e">
        <f t="shared" si="11"/>
        <v>#VALUE!</v>
      </c>
      <c r="Z26" s="451">
        <f t="shared" si="12"/>
        <v>0</v>
      </c>
      <c r="AA26" s="451">
        <f t="shared" si="13"/>
        <v>0</v>
      </c>
      <c r="AB26" s="451">
        <f t="shared" si="14"/>
        <v>0</v>
      </c>
      <c r="AC26" s="450" t="e">
        <f t="shared" si="18"/>
        <v>#VALUE!</v>
      </c>
      <c r="AD26" s="450"/>
      <c r="AE26" s="450"/>
      <c r="AF26" s="450"/>
      <c r="AG26" s="450"/>
      <c r="AH26" s="356">
        <v>0</v>
      </c>
      <c r="AI26" s="334">
        <v>36</v>
      </c>
      <c r="AJ26" s="334" t="s">
        <v>1304</v>
      </c>
      <c r="AK26" s="334">
        <v>0</v>
      </c>
      <c r="AL26" s="334">
        <v>0</v>
      </c>
      <c r="AM26" s="334" t="s">
        <v>53</v>
      </c>
      <c r="AN26" s="334" t="s">
        <v>53</v>
      </c>
      <c r="AO26" s="334" t="s">
        <v>53</v>
      </c>
      <c r="AP26" s="334" t="s">
        <v>54</v>
      </c>
      <c r="AQ26" s="382" t="s">
        <v>70</v>
      </c>
      <c r="AR26" s="446"/>
      <c r="AS26" s="409"/>
      <c r="AT26" s="409"/>
      <c r="AU26" s="409"/>
      <c r="AV26" s="409"/>
      <c r="AW26" s="409"/>
      <c r="AX26" s="409"/>
      <c r="AY26" s="409"/>
      <c r="AZ26" s="409"/>
      <c r="BA26" s="409"/>
      <c r="BB26" s="409"/>
      <c r="BC26" s="409"/>
      <c r="BD26" s="417"/>
      <c r="BE26" s="409"/>
      <c r="BF26" s="409"/>
      <c r="BG26" s="409"/>
      <c r="BH26" s="409"/>
      <c r="BI26" s="409"/>
      <c r="BJ26" s="409"/>
      <c r="BK26" s="409"/>
      <c r="BL26" s="409"/>
      <c r="BM26" s="409"/>
      <c r="BN26" s="409"/>
      <c r="BO26" s="409"/>
      <c r="BP26" s="409"/>
      <c r="BQ26" s="411"/>
      <c r="BR26" s="409"/>
      <c r="BS26" s="409"/>
      <c r="BT26" s="409"/>
      <c r="BU26" s="409"/>
      <c r="BV26" s="409"/>
      <c r="BW26" s="409"/>
      <c r="BX26" s="409"/>
      <c r="BY26" s="409"/>
      <c r="BZ26" s="409"/>
      <c r="CA26" s="409"/>
      <c r="CB26" s="409"/>
      <c r="CC26" s="409"/>
      <c r="CD26" s="409"/>
      <c r="CE26" s="329"/>
      <c r="CF26" s="329"/>
      <c r="CG26" s="329"/>
      <c r="CH26" s="329"/>
      <c r="CI26" s="329"/>
      <c r="CJ26" s="329"/>
      <c r="CK26" s="329"/>
      <c r="CL26" s="329"/>
      <c r="CM26" s="329"/>
      <c r="CN26" s="329"/>
      <c r="CO26" s="329"/>
      <c r="CP26" s="329"/>
      <c r="CQ26" s="398">
        <f t="shared" si="24"/>
        <v>0</v>
      </c>
      <c r="CR26" s="331"/>
      <c r="CS26" s="331"/>
      <c r="CT26" s="331"/>
      <c r="CU26" s="331"/>
      <c r="CV26" s="331"/>
      <c r="CW26" s="331"/>
      <c r="CX26" s="331"/>
      <c r="CY26" s="331"/>
      <c r="CZ26" s="331"/>
      <c r="DA26" s="331"/>
      <c r="DB26" s="331"/>
      <c r="DC26" s="331"/>
      <c r="DD26" s="331">
        <f t="shared" si="0"/>
        <v>0</v>
      </c>
      <c r="DE26" s="1"/>
      <c r="DF26" s="1"/>
      <c r="DG26" s="1"/>
      <c r="DH26" s="1"/>
      <c r="DI26" s="1"/>
      <c r="DJ26" s="1"/>
      <c r="DK26" s="1"/>
      <c r="DL26" s="1"/>
      <c r="DM26" s="1"/>
      <c r="DN26" s="1"/>
      <c r="DO26" s="1"/>
      <c r="DP26" s="1"/>
      <c r="DQ26" s="1"/>
    </row>
    <row r="27" spans="1:121" ht="48.75" thickBot="1" x14ac:dyDescent="0.25">
      <c r="A27" s="841"/>
      <c r="B27" s="844"/>
      <c r="C27" s="841"/>
      <c r="D27" s="360" t="s">
        <v>1358</v>
      </c>
      <c r="E27" s="360"/>
      <c r="F27" s="331" t="s">
        <v>1377</v>
      </c>
      <c r="G27" s="841"/>
      <c r="H27" s="844"/>
      <c r="I27" s="844"/>
      <c r="J27" s="847"/>
      <c r="K27" s="852"/>
      <c r="L27" s="349" t="s">
        <v>493</v>
      </c>
      <c r="M27" s="355"/>
      <c r="N27" s="351">
        <f t="shared" si="1"/>
        <v>0</v>
      </c>
      <c r="O27" s="352">
        <f t="shared" si="2"/>
        <v>0</v>
      </c>
      <c r="P27" s="353">
        <f t="shared" si="3"/>
        <v>0</v>
      </c>
      <c r="Q27" s="351">
        <f t="shared" si="4"/>
        <v>0</v>
      </c>
      <c r="R27" s="352">
        <f t="shared" si="25"/>
        <v>0</v>
      </c>
      <c r="S27" s="353">
        <f t="shared" si="21"/>
        <v>0</v>
      </c>
      <c r="T27" s="351">
        <f t="shared" si="7"/>
        <v>0</v>
      </c>
      <c r="U27" s="354">
        <f t="shared" si="8"/>
        <v>0</v>
      </c>
      <c r="V27" s="328">
        <f t="shared" si="17"/>
        <v>0</v>
      </c>
      <c r="W27" s="328">
        <f t="shared" si="22"/>
        <v>0</v>
      </c>
      <c r="X27" s="328">
        <f t="shared" si="23"/>
        <v>0</v>
      </c>
      <c r="Y27" s="450" t="e">
        <f t="shared" si="11"/>
        <v>#VALUE!</v>
      </c>
      <c r="Z27" s="451">
        <f t="shared" si="12"/>
        <v>0</v>
      </c>
      <c r="AA27" s="451">
        <f t="shared" si="13"/>
        <v>0</v>
      </c>
      <c r="AB27" s="451">
        <f t="shared" si="14"/>
        <v>0</v>
      </c>
      <c r="AC27" s="450" t="e">
        <f t="shared" si="18"/>
        <v>#VALUE!</v>
      </c>
      <c r="AD27" s="450"/>
      <c r="AE27" s="450"/>
      <c r="AF27" s="450"/>
      <c r="AG27" s="450"/>
      <c r="AH27" s="356">
        <v>0</v>
      </c>
      <c r="AI27" s="334">
        <v>36</v>
      </c>
      <c r="AJ27" s="334" t="s">
        <v>1304</v>
      </c>
      <c r="AK27" s="334">
        <v>0</v>
      </c>
      <c r="AL27" s="334">
        <v>0</v>
      </c>
      <c r="AM27" s="334" t="s">
        <v>53</v>
      </c>
      <c r="AN27" s="334" t="s">
        <v>53</v>
      </c>
      <c r="AO27" s="334" t="s">
        <v>53</v>
      </c>
      <c r="AP27" s="334" t="s">
        <v>54</v>
      </c>
      <c r="AQ27" s="382" t="s">
        <v>70</v>
      </c>
      <c r="AR27" s="446"/>
      <c r="AS27" s="409"/>
      <c r="AT27" s="409"/>
      <c r="AU27" s="409"/>
      <c r="AV27" s="409"/>
      <c r="AW27" s="409"/>
      <c r="AX27" s="409"/>
      <c r="AY27" s="409"/>
      <c r="AZ27" s="409"/>
      <c r="BA27" s="409"/>
      <c r="BB27" s="409"/>
      <c r="BC27" s="409"/>
      <c r="BD27" s="417"/>
      <c r="BE27" s="409"/>
      <c r="BF27" s="409"/>
      <c r="BG27" s="409"/>
      <c r="BH27" s="409"/>
      <c r="BI27" s="409"/>
      <c r="BJ27" s="409"/>
      <c r="BK27" s="409"/>
      <c r="BL27" s="409"/>
      <c r="BM27" s="409"/>
      <c r="BN27" s="409"/>
      <c r="BO27" s="409"/>
      <c r="BP27" s="409"/>
      <c r="BQ27" s="411"/>
      <c r="BR27" s="409"/>
      <c r="BS27" s="409"/>
      <c r="BT27" s="409"/>
      <c r="BU27" s="409"/>
      <c r="BV27" s="409"/>
      <c r="BW27" s="409"/>
      <c r="BX27" s="409"/>
      <c r="BY27" s="409"/>
      <c r="BZ27" s="409"/>
      <c r="CA27" s="409"/>
      <c r="CB27" s="409"/>
      <c r="CC27" s="409"/>
      <c r="CD27" s="409"/>
      <c r="CE27" s="329"/>
      <c r="CF27" s="329"/>
      <c r="CG27" s="329"/>
      <c r="CH27" s="329"/>
      <c r="CI27" s="329"/>
      <c r="CJ27" s="329"/>
      <c r="CK27" s="329"/>
      <c r="CL27" s="329"/>
      <c r="CM27" s="329"/>
      <c r="CN27" s="329"/>
      <c r="CO27" s="329"/>
      <c r="CP27" s="329"/>
      <c r="CQ27" s="398">
        <f t="shared" si="24"/>
        <v>0</v>
      </c>
      <c r="CR27" s="331"/>
      <c r="CS27" s="331"/>
      <c r="CT27" s="331"/>
      <c r="CU27" s="331"/>
      <c r="CV27" s="331"/>
      <c r="CW27" s="331"/>
      <c r="CX27" s="331"/>
      <c r="CY27" s="331"/>
      <c r="CZ27" s="331"/>
      <c r="DA27" s="331"/>
      <c r="DB27" s="331"/>
      <c r="DC27" s="331"/>
      <c r="DD27" s="331">
        <f t="shared" si="0"/>
        <v>0</v>
      </c>
      <c r="DE27" s="1"/>
      <c r="DF27" s="1"/>
      <c r="DG27" s="1"/>
      <c r="DH27" s="1"/>
      <c r="DI27" s="1"/>
      <c r="DJ27" s="1"/>
      <c r="DK27" s="1"/>
      <c r="DL27" s="1"/>
      <c r="DM27" s="1"/>
      <c r="DN27" s="1"/>
      <c r="DO27" s="1"/>
      <c r="DP27" s="1"/>
      <c r="DQ27" s="1"/>
    </row>
    <row r="28" spans="1:121" ht="48.75" thickBot="1" x14ac:dyDescent="0.25">
      <c r="A28" s="841"/>
      <c r="B28" s="844"/>
      <c r="C28" s="841"/>
      <c r="D28" s="4" t="s">
        <v>1359</v>
      </c>
      <c r="E28" s="3"/>
      <c r="F28" s="17" t="s">
        <v>73</v>
      </c>
      <c r="G28" s="841"/>
      <c r="H28" s="844"/>
      <c r="I28" s="844"/>
      <c r="J28" s="847"/>
      <c r="K28" s="852"/>
      <c r="L28" s="603" t="s">
        <v>493</v>
      </c>
      <c r="M28" s="116"/>
      <c r="N28" s="599">
        <f t="shared" si="1"/>
        <v>0</v>
      </c>
      <c r="O28" s="600">
        <f t="shared" si="2"/>
        <v>0</v>
      </c>
      <c r="P28" s="601">
        <f t="shared" si="3"/>
        <v>0</v>
      </c>
      <c r="Q28" s="599">
        <f t="shared" si="4"/>
        <v>0</v>
      </c>
      <c r="R28" s="600">
        <f t="shared" si="25"/>
        <v>0</v>
      </c>
      <c r="S28" s="601">
        <f t="shared" ref="S28:S35" si="26">R28</f>
        <v>0</v>
      </c>
      <c r="T28" s="599">
        <f t="shared" si="7"/>
        <v>0</v>
      </c>
      <c r="U28" s="602">
        <f t="shared" si="8"/>
        <v>0</v>
      </c>
      <c r="V28" s="42">
        <f t="shared" si="17"/>
        <v>0</v>
      </c>
      <c r="W28" s="42">
        <f t="shared" si="22"/>
        <v>0</v>
      </c>
      <c r="X28" s="42">
        <f t="shared" si="23"/>
        <v>0</v>
      </c>
      <c r="Y28" s="596" t="e">
        <f t="shared" si="11"/>
        <v>#VALUE!</v>
      </c>
      <c r="Z28" s="597">
        <f t="shared" si="12"/>
        <v>0</v>
      </c>
      <c r="AA28" s="597">
        <f t="shared" si="13"/>
        <v>688758</v>
      </c>
      <c r="AB28" s="597">
        <f t="shared" si="14"/>
        <v>688758</v>
      </c>
      <c r="AC28" s="596" t="e">
        <f t="shared" si="18"/>
        <v>#VALUE!</v>
      </c>
      <c r="AD28" s="596"/>
      <c r="AE28" s="596"/>
      <c r="AF28" s="596"/>
      <c r="AG28" s="596"/>
      <c r="AH28" s="158">
        <v>0</v>
      </c>
      <c r="AI28" s="44">
        <v>36</v>
      </c>
      <c r="AJ28" s="44" t="s">
        <v>1304</v>
      </c>
      <c r="AK28" s="44">
        <v>0</v>
      </c>
      <c r="AL28" s="44">
        <v>0</v>
      </c>
      <c r="AM28" s="44" t="s">
        <v>53</v>
      </c>
      <c r="AN28" s="44" t="s">
        <v>53</v>
      </c>
      <c r="AO28" s="44" t="s">
        <v>53</v>
      </c>
      <c r="AP28" s="44" t="s">
        <v>54</v>
      </c>
      <c r="AQ28" s="6" t="s">
        <v>70</v>
      </c>
      <c r="CE28" s="39"/>
      <c r="CF28" s="39"/>
      <c r="CG28" s="39"/>
      <c r="CH28" s="39"/>
      <c r="CI28" s="39"/>
      <c r="CJ28" s="39"/>
      <c r="CK28" s="39"/>
      <c r="CL28" s="39"/>
      <c r="CM28" s="39"/>
      <c r="CN28" s="39"/>
      <c r="CO28" s="39"/>
      <c r="CP28" s="39"/>
      <c r="CQ28" s="56">
        <f t="shared" si="24"/>
        <v>0</v>
      </c>
      <c r="CR28" s="1"/>
      <c r="CS28" s="1"/>
      <c r="CT28" s="1"/>
      <c r="CU28" s="1"/>
      <c r="CV28" s="1"/>
      <c r="CW28" s="1"/>
      <c r="CX28" s="1"/>
      <c r="CY28" s="1"/>
      <c r="CZ28" s="1">
        <v>688758</v>
      </c>
      <c r="DA28" s="1"/>
      <c r="DB28" s="1"/>
      <c r="DC28" s="1"/>
      <c r="DD28" s="1">
        <f t="shared" si="0"/>
        <v>688758</v>
      </c>
      <c r="DE28" s="1"/>
      <c r="DF28" s="1"/>
      <c r="DG28" s="1"/>
      <c r="DH28" s="1"/>
      <c r="DI28" s="1"/>
      <c r="DJ28" s="1"/>
      <c r="DK28" s="1"/>
      <c r="DL28" s="1"/>
      <c r="DM28" s="1"/>
      <c r="DN28" s="1"/>
      <c r="DO28" s="1"/>
      <c r="DP28" s="1"/>
      <c r="DQ28" s="1"/>
    </row>
    <row r="29" spans="1:121" ht="48.75" thickBot="1" x14ac:dyDescent="0.25">
      <c r="A29" s="841"/>
      <c r="B29" s="844"/>
      <c r="C29" s="841"/>
      <c r="D29" s="360" t="s">
        <v>485</v>
      </c>
      <c r="E29" s="360"/>
      <c r="F29" s="331" t="s">
        <v>224</v>
      </c>
      <c r="G29" s="841"/>
      <c r="H29" s="844"/>
      <c r="I29" s="844"/>
      <c r="J29" s="847"/>
      <c r="K29" s="852"/>
      <c r="L29" s="349" t="s">
        <v>493</v>
      </c>
      <c r="M29" s="355"/>
      <c r="N29" s="351">
        <f t="shared" si="1"/>
        <v>0</v>
      </c>
      <c r="O29" s="352">
        <f t="shared" si="2"/>
        <v>0</v>
      </c>
      <c r="P29" s="353">
        <f t="shared" si="3"/>
        <v>0</v>
      </c>
      <c r="Q29" s="351">
        <f t="shared" si="4"/>
        <v>0</v>
      </c>
      <c r="R29" s="352">
        <f t="shared" si="25"/>
        <v>0</v>
      </c>
      <c r="S29" s="353">
        <f t="shared" si="26"/>
        <v>0</v>
      </c>
      <c r="T29" s="351">
        <f t="shared" si="7"/>
        <v>0</v>
      </c>
      <c r="U29" s="354">
        <f t="shared" si="8"/>
        <v>0</v>
      </c>
      <c r="V29" s="328">
        <f t="shared" si="17"/>
        <v>0</v>
      </c>
      <c r="W29" s="328">
        <f t="shared" si="22"/>
        <v>0</v>
      </c>
      <c r="X29" s="328">
        <f t="shared" si="23"/>
        <v>0</v>
      </c>
      <c r="Y29" s="450" t="e">
        <f t="shared" si="11"/>
        <v>#VALUE!</v>
      </c>
      <c r="Z29" s="451">
        <f t="shared" si="12"/>
        <v>0</v>
      </c>
      <c r="AA29" s="451">
        <f t="shared" si="13"/>
        <v>0</v>
      </c>
      <c r="AB29" s="451">
        <f t="shared" si="14"/>
        <v>0</v>
      </c>
      <c r="AC29" s="450" t="e">
        <f t="shared" si="18"/>
        <v>#VALUE!</v>
      </c>
      <c r="AD29" s="450"/>
      <c r="AE29" s="450"/>
      <c r="AF29" s="450"/>
      <c r="AG29" s="450"/>
      <c r="AH29" s="356">
        <v>0</v>
      </c>
      <c r="AI29" s="334">
        <v>36</v>
      </c>
      <c r="AJ29" s="334" t="s">
        <v>1304</v>
      </c>
      <c r="AK29" s="334">
        <v>0</v>
      </c>
      <c r="AL29" s="334">
        <v>0</v>
      </c>
      <c r="AM29" s="334" t="s">
        <v>53</v>
      </c>
      <c r="AN29" s="334" t="s">
        <v>53</v>
      </c>
      <c r="AO29" s="334" t="s">
        <v>53</v>
      </c>
      <c r="AP29" s="334" t="s">
        <v>54</v>
      </c>
      <c r="AQ29" s="382" t="s">
        <v>70</v>
      </c>
      <c r="AR29" s="446"/>
      <c r="AS29" s="409"/>
      <c r="AT29" s="409"/>
      <c r="AU29" s="409"/>
      <c r="AV29" s="409"/>
      <c r="AW29" s="409"/>
      <c r="AX29" s="409"/>
      <c r="AY29" s="409"/>
      <c r="AZ29" s="409"/>
      <c r="BA29" s="409"/>
      <c r="BB29" s="409"/>
      <c r="BC29" s="409"/>
      <c r="BD29" s="417"/>
      <c r="BE29" s="409"/>
      <c r="BF29" s="409"/>
      <c r="BG29" s="409"/>
      <c r="BH29" s="409"/>
      <c r="BI29" s="409"/>
      <c r="BJ29" s="409"/>
      <c r="BK29" s="409"/>
      <c r="BL29" s="409"/>
      <c r="BM29" s="409"/>
      <c r="BN29" s="409"/>
      <c r="BO29" s="409"/>
      <c r="BP29" s="409"/>
      <c r="BQ29" s="411"/>
      <c r="BR29" s="409"/>
      <c r="BS29" s="409"/>
      <c r="BT29" s="409"/>
      <c r="BU29" s="409"/>
      <c r="BV29" s="409"/>
      <c r="BW29" s="409"/>
      <c r="BX29" s="409"/>
      <c r="BY29" s="409"/>
      <c r="BZ29" s="409"/>
      <c r="CA29" s="409"/>
      <c r="CB29" s="409"/>
      <c r="CC29" s="409"/>
      <c r="CD29" s="409"/>
      <c r="CE29" s="329"/>
      <c r="CF29" s="329"/>
      <c r="CG29" s="329"/>
      <c r="CH29" s="329"/>
      <c r="CI29" s="329"/>
      <c r="CJ29" s="329"/>
      <c r="CK29" s="329"/>
      <c r="CL29" s="329"/>
      <c r="CM29" s="329"/>
      <c r="CN29" s="329"/>
      <c r="CO29" s="329"/>
      <c r="CP29" s="329"/>
      <c r="CQ29" s="398">
        <f t="shared" si="24"/>
        <v>0</v>
      </c>
      <c r="CR29" s="331"/>
      <c r="CS29" s="331"/>
      <c r="CT29" s="331"/>
      <c r="CU29" s="331"/>
      <c r="CV29" s="331"/>
      <c r="CW29" s="331"/>
      <c r="CX29" s="331"/>
      <c r="CY29" s="331"/>
      <c r="CZ29" s="331"/>
      <c r="DA29" s="331"/>
      <c r="DB29" s="331"/>
      <c r="DC29" s="331"/>
      <c r="DD29" s="331">
        <f t="shared" si="0"/>
        <v>0</v>
      </c>
      <c r="DE29" s="1"/>
      <c r="DF29" s="1"/>
      <c r="DG29" s="1"/>
      <c r="DH29" s="1"/>
      <c r="DI29" s="1"/>
      <c r="DJ29" s="1"/>
      <c r="DK29" s="1"/>
      <c r="DL29" s="1"/>
      <c r="DM29" s="1"/>
      <c r="DN29" s="1"/>
      <c r="DO29" s="1"/>
      <c r="DP29" s="1"/>
      <c r="DQ29" s="1"/>
    </row>
    <row r="30" spans="1:121" ht="48.75" thickBot="1" x14ac:dyDescent="0.25">
      <c r="A30" s="841"/>
      <c r="B30" s="844"/>
      <c r="C30" s="841"/>
      <c r="D30" s="360" t="s">
        <v>1360</v>
      </c>
      <c r="E30" s="360"/>
      <c r="F30" s="331" t="s">
        <v>1449</v>
      </c>
      <c r="G30" s="841"/>
      <c r="H30" s="844"/>
      <c r="I30" s="844"/>
      <c r="J30" s="847"/>
      <c r="K30" s="852"/>
      <c r="L30" s="349" t="s">
        <v>493</v>
      </c>
      <c r="M30" s="355"/>
      <c r="N30" s="351">
        <f t="shared" si="1"/>
        <v>0</v>
      </c>
      <c r="O30" s="352">
        <f t="shared" si="2"/>
        <v>0</v>
      </c>
      <c r="P30" s="353">
        <f t="shared" si="3"/>
        <v>0</v>
      </c>
      <c r="Q30" s="351">
        <f t="shared" si="4"/>
        <v>0</v>
      </c>
      <c r="R30" s="352">
        <f t="shared" si="25"/>
        <v>0</v>
      </c>
      <c r="S30" s="353">
        <f t="shared" si="26"/>
        <v>0</v>
      </c>
      <c r="T30" s="351">
        <f t="shared" si="7"/>
        <v>0</v>
      </c>
      <c r="U30" s="354">
        <f t="shared" si="8"/>
        <v>0</v>
      </c>
      <c r="V30" s="328">
        <f t="shared" si="17"/>
        <v>0</v>
      </c>
      <c r="W30" s="328">
        <f t="shared" si="22"/>
        <v>0</v>
      </c>
      <c r="X30" s="328">
        <f t="shared" si="23"/>
        <v>0</v>
      </c>
      <c r="Y30" s="450" t="e">
        <f t="shared" si="11"/>
        <v>#VALUE!</v>
      </c>
      <c r="Z30" s="451">
        <f t="shared" si="12"/>
        <v>0</v>
      </c>
      <c r="AA30" s="451">
        <f t="shared" si="13"/>
        <v>0</v>
      </c>
      <c r="AB30" s="451">
        <f t="shared" si="14"/>
        <v>0</v>
      </c>
      <c r="AC30" s="450" t="e">
        <f t="shared" si="18"/>
        <v>#VALUE!</v>
      </c>
      <c r="AD30" s="450"/>
      <c r="AE30" s="450"/>
      <c r="AF30" s="450"/>
      <c r="AG30" s="450"/>
      <c r="AH30" s="356">
        <v>0</v>
      </c>
      <c r="AI30" s="334">
        <v>36</v>
      </c>
      <c r="AJ30" s="334" t="s">
        <v>1304</v>
      </c>
      <c r="AK30" s="334">
        <v>0</v>
      </c>
      <c r="AL30" s="334">
        <v>0</v>
      </c>
      <c r="AM30" s="334" t="s">
        <v>53</v>
      </c>
      <c r="AN30" s="334" t="s">
        <v>53</v>
      </c>
      <c r="AO30" s="334" t="s">
        <v>53</v>
      </c>
      <c r="AP30" s="334" t="s">
        <v>54</v>
      </c>
      <c r="AQ30" s="382" t="s">
        <v>70</v>
      </c>
      <c r="AR30" s="446"/>
      <c r="AS30" s="409"/>
      <c r="AT30" s="409"/>
      <c r="AU30" s="409"/>
      <c r="AV30" s="409"/>
      <c r="AW30" s="409"/>
      <c r="AX30" s="409"/>
      <c r="AY30" s="409"/>
      <c r="AZ30" s="409"/>
      <c r="BA30" s="409"/>
      <c r="BB30" s="409"/>
      <c r="BC30" s="409"/>
      <c r="BD30" s="417"/>
      <c r="BE30" s="409"/>
      <c r="BF30" s="409"/>
      <c r="BG30" s="409"/>
      <c r="BH30" s="409"/>
      <c r="BI30" s="409"/>
      <c r="BJ30" s="409"/>
      <c r="BK30" s="409"/>
      <c r="BL30" s="409"/>
      <c r="BM30" s="409"/>
      <c r="BN30" s="409"/>
      <c r="BO30" s="409"/>
      <c r="BP30" s="409"/>
      <c r="BQ30" s="411"/>
      <c r="BR30" s="409"/>
      <c r="BS30" s="409"/>
      <c r="BT30" s="409"/>
      <c r="BU30" s="409"/>
      <c r="BV30" s="409"/>
      <c r="BW30" s="409"/>
      <c r="BX30" s="409"/>
      <c r="BY30" s="409"/>
      <c r="BZ30" s="409"/>
      <c r="CA30" s="409"/>
      <c r="CB30" s="409"/>
      <c r="CC30" s="409"/>
      <c r="CD30" s="409"/>
      <c r="CE30" s="329"/>
      <c r="CF30" s="329"/>
      <c r="CG30" s="329"/>
      <c r="CH30" s="329"/>
      <c r="CI30" s="329"/>
      <c r="CJ30" s="329"/>
      <c r="CK30" s="329"/>
      <c r="CL30" s="329"/>
      <c r="CM30" s="329"/>
      <c r="CN30" s="329"/>
      <c r="CO30" s="329"/>
      <c r="CP30" s="329"/>
      <c r="CQ30" s="398">
        <f t="shared" si="24"/>
        <v>0</v>
      </c>
      <c r="CR30" s="331"/>
      <c r="CS30" s="331"/>
      <c r="CT30" s="331"/>
      <c r="CU30" s="331"/>
      <c r="CV30" s="331"/>
      <c r="CW30" s="331"/>
      <c r="CX30" s="331"/>
      <c r="CY30" s="331"/>
      <c r="CZ30" s="331"/>
      <c r="DA30" s="331"/>
      <c r="DB30" s="331"/>
      <c r="DC30" s="331"/>
      <c r="DD30" s="331">
        <f t="shared" si="0"/>
        <v>0</v>
      </c>
      <c r="DE30" s="1"/>
      <c r="DF30" s="1"/>
      <c r="DG30" s="1"/>
      <c r="DH30" s="1"/>
      <c r="DI30" s="1"/>
      <c r="DJ30" s="1"/>
      <c r="DK30" s="1"/>
      <c r="DL30" s="1"/>
      <c r="DM30" s="1"/>
      <c r="DN30" s="1"/>
      <c r="DO30" s="1"/>
      <c r="DP30" s="1"/>
      <c r="DQ30" s="1"/>
    </row>
    <row r="31" spans="1:121" ht="48.75" thickBot="1" x14ac:dyDescent="0.25">
      <c r="A31" s="841"/>
      <c r="B31" s="844"/>
      <c r="C31" s="841"/>
      <c r="D31" s="395" t="s">
        <v>310</v>
      </c>
      <c r="E31" s="395"/>
      <c r="F31" s="407" t="s">
        <v>275</v>
      </c>
      <c r="G31" s="841"/>
      <c r="H31" s="844"/>
      <c r="I31" s="844"/>
      <c r="J31" s="847"/>
      <c r="K31" s="852"/>
      <c r="L31" s="455" t="s">
        <v>493</v>
      </c>
      <c r="M31" s="355"/>
      <c r="N31" s="351">
        <f t="shared" si="1"/>
        <v>0</v>
      </c>
      <c r="O31" s="352">
        <f t="shared" si="2"/>
        <v>0</v>
      </c>
      <c r="P31" s="353">
        <f t="shared" si="3"/>
        <v>0</v>
      </c>
      <c r="Q31" s="351">
        <f t="shared" si="4"/>
        <v>0</v>
      </c>
      <c r="R31" s="352">
        <f t="shared" si="25"/>
        <v>0</v>
      </c>
      <c r="S31" s="353">
        <f t="shared" si="26"/>
        <v>0</v>
      </c>
      <c r="T31" s="351">
        <f t="shared" si="7"/>
        <v>0</v>
      </c>
      <c r="U31" s="354">
        <f t="shared" si="8"/>
        <v>0</v>
      </c>
      <c r="V31" s="328">
        <f t="shared" si="17"/>
        <v>0</v>
      </c>
      <c r="W31" s="408">
        <f t="shared" si="22"/>
        <v>0</v>
      </c>
      <c r="X31" s="328">
        <f t="shared" si="23"/>
        <v>0</v>
      </c>
      <c r="Y31" s="450" t="e">
        <f t="shared" si="11"/>
        <v>#VALUE!</v>
      </c>
      <c r="Z31" s="451">
        <f t="shared" si="12"/>
        <v>0</v>
      </c>
      <c r="AA31" s="451">
        <f t="shared" si="13"/>
        <v>0</v>
      </c>
      <c r="AB31" s="451">
        <f t="shared" si="14"/>
        <v>0</v>
      </c>
      <c r="AC31" s="450" t="e">
        <f t="shared" si="18"/>
        <v>#VALUE!</v>
      </c>
      <c r="AD31" s="450"/>
      <c r="AE31" s="450"/>
      <c r="AF31" s="450"/>
      <c r="AG31" s="450"/>
      <c r="AH31" s="356">
        <v>0</v>
      </c>
      <c r="AI31" s="334">
        <v>36</v>
      </c>
      <c r="AJ31" s="334" t="s">
        <v>1304</v>
      </c>
      <c r="AK31" s="334">
        <v>0</v>
      </c>
      <c r="AL31" s="334">
        <v>0</v>
      </c>
      <c r="AM31" s="334" t="s">
        <v>53</v>
      </c>
      <c r="AN31" s="334" t="s">
        <v>53</v>
      </c>
      <c r="AO31" s="334" t="s">
        <v>53</v>
      </c>
      <c r="AP31" s="334" t="s">
        <v>54</v>
      </c>
      <c r="AQ31" s="382" t="s">
        <v>70</v>
      </c>
      <c r="AR31" s="446"/>
      <c r="AS31" s="409"/>
      <c r="AT31" s="409"/>
      <c r="AU31" s="409"/>
      <c r="AV31" s="409"/>
      <c r="AW31" s="409"/>
      <c r="AX31" s="409"/>
      <c r="AY31" s="409"/>
      <c r="AZ31" s="409"/>
      <c r="BA31" s="409"/>
      <c r="BB31" s="409"/>
      <c r="BC31" s="409"/>
      <c r="BD31" s="417"/>
      <c r="BE31" s="409"/>
      <c r="BF31" s="409"/>
      <c r="BG31" s="409"/>
      <c r="BH31" s="409"/>
      <c r="BI31" s="409"/>
      <c r="BJ31" s="409"/>
      <c r="BK31" s="409"/>
      <c r="BL31" s="409"/>
      <c r="BM31" s="409"/>
      <c r="BN31" s="409"/>
      <c r="BO31" s="409"/>
      <c r="BP31" s="409"/>
      <c r="BQ31" s="411"/>
      <c r="BR31" s="409"/>
      <c r="BS31" s="409"/>
      <c r="BT31" s="409"/>
      <c r="BU31" s="409"/>
      <c r="BV31" s="409"/>
      <c r="BW31" s="409"/>
      <c r="BX31" s="409"/>
      <c r="BY31" s="409"/>
      <c r="BZ31" s="409"/>
      <c r="CA31" s="409"/>
      <c r="CB31" s="409"/>
      <c r="CC31" s="409"/>
      <c r="CD31" s="409"/>
      <c r="CE31" s="396"/>
      <c r="CF31" s="396"/>
      <c r="CG31" s="396"/>
      <c r="CH31" s="396"/>
      <c r="CI31" s="396"/>
      <c r="CJ31" s="396"/>
      <c r="CK31" s="396"/>
      <c r="CL31" s="396"/>
      <c r="CM31" s="396"/>
      <c r="CN31" s="396"/>
      <c r="CO31" s="396"/>
      <c r="CP31" s="396"/>
      <c r="CQ31" s="456">
        <f t="shared" si="24"/>
        <v>0</v>
      </c>
      <c r="CR31" s="331"/>
      <c r="CS31" s="331"/>
      <c r="CT31" s="331"/>
      <c r="CU31" s="331"/>
      <c r="CV31" s="331"/>
      <c r="CW31" s="331"/>
      <c r="CX31" s="331"/>
      <c r="CY31" s="331"/>
      <c r="CZ31" s="331"/>
      <c r="DA31" s="331"/>
      <c r="DB31" s="331"/>
      <c r="DC31" s="331"/>
      <c r="DD31" s="331">
        <f t="shared" si="0"/>
        <v>0</v>
      </c>
      <c r="DE31" s="1"/>
      <c r="DF31" s="1"/>
      <c r="DG31" s="1"/>
      <c r="DH31" s="1"/>
      <c r="DI31" s="1"/>
      <c r="DJ31" s="1"/>
      <c r="DK31" s="1"/>
      <c r="DL31" s="1"/>
      <c r="DM31" s="1"/>
      <c r="DN31" s="1"/>
      <c r="DO31" s="1"/>
      <c r="DP31" s="1"/>
      <c r="DQ31" s="1"/>
    </row>
    <row r="32" spans="1:121" ht="48.75" thickBot="1" x14ac:dyDescent="0.25">
      <c r="A32" s="841"/>
      <c r="B32" s="844"/>
      <c r="C32" s="841"/>
      <c r="D32" s="360" t="s">
        <v>1361</v>
      </c>
      <c r="E32" s="360"/>
      <c r="F32" s="331" t="s">
        <v>88</v>
      </c>
      <c r="G32" s="841"/>
      <c r="H32" s="844"/>
      <c r="I32" s="844"/>
      <c r="J32" s="847"/>
      <c r="K32" s="852"/>
      <c r="L32" s="349" t="s">
        <v>493</v>
      </c>
      <c r="M32" s="355"/>
      <c r="N32" s="351">
        <f t="shared" si="1"/>
        <v>0</v>
      </c>
      <c r="O32" s="352">
        <f t="shared" si="2"/>
        <v>0</v>
      </c>
      <c r="P32" s="353">
        <f t="shared" si="3"/>
        <v>0</v>
      </c>
      <c r="Q32" s="351">
        <f t="shared" si="4"/>
        <v>0</v>
      </c>
      <c r="R32" s="352">
        <f t="shared" si="25"/>
        <v>0</v>
      </c>
      <c r="S32" s="353">
        <f t="shared" si="26"/>
        <v>0</v>
      </c>
      <c r="T32" s="351">
        <f t="shared" si="7"/>
        <v>0</v>
      </c>
      <c r="U32" s="354">
        <f t="shared" si="8"/>
        <v>0</v>
      </c>
      <c r="V32" s="328">
        <f t="shared" si="17"/>
        <v>0</v>
      </c>
      <c r="W32" s="328">
        <f t="shared" si="22"/>
        <v>0</v>
      </c>
      <c r="X32" s="328">
        <f t="shared" si="23"/>
        <v>0</v>
      </c>
      <c r="Y32" s="450" t="e">
        <f t="shared" si="11"/>
        <v>#VALUE!</v>
      </c>
      <c r="Z32" s="451">
        <f t="shared" si="12"/>
        <v>0</v>
      </c>
      <c r="AA32" s="451">
        <f t="shared" si="13"/>
        <v>0</v>
      </c>
      <c r="AB32" s="451">
        <f t="shared" si="14"/>
        <v>0</v>
      </c>
      <c r="AC32" s="450" t="e">
        <f t="shared" si="18"/>
        <v>#VALUE!</v>
      </c>
      <c r="AD32" s="450"/>
      <c r="AE32" s="450"/>
      <c r="AF32" s="450"/>
      <c r="AG32" s="450"/>
      <c r="AH32" s="356">
        <v>0</v>
      </c>
      <c r="AI32" s="334">
        <v>36</v>
      </c>
      <c r="AJ32" s="334" t="s">
        <v>1304</v>
      </c>
      <c r="AK32" s="334">
        <v>0</v>
      </c>
      <c r="AL32" s="334">
        <v>0</v>
      </c>
      <c r="AM32" s="334" t="s">
        <v>53</v>
      </c>
      <c r="AN32" s="334" t="s">
        <v>53</v>
      </c>
      <c r="AO32" s="334" t="s">
        <v>53</v>
      </c>
      <c r="AP32" s="334" t="s">
        <v>54</v>
      </c>
      <c r="AQ32" s="382" t="s">
        <v>70</v>
      </c>
      <c r="AR32" s="357"/>
      <c r="AS32" s="357"/>
      <c r="AT32" s="357"/>
      <c r="AU32" s="357"/>
      <c r="AV32" s="357"/>
      <c r="AW32" s="357"/>
      <c r="AX32" s="357"/>
      <c r="AY32" s="357"/>
      <c r="AZ32" s="357"/>
      <c r="BA32" s="357"/>
      <c r="BB32" s="357"/>
      <c r="BC32" s="357"/>
      <c r="BD32" s="358"/>
      <c r="BE32" s="357"/>
      <c r="BF32" s="357"/>
      <c r="BG32" s="357"/>
      <c r="BH32" s="357"/>
      <c r="BI32" s="357"/>
      <c r="BJ32" s="357"/>
      <c r="BK32" s="357"/>
      <c r="BL32" s="357"/>
      <c r="BM32" s="357"/>
      <c r="BN32" s="357"/>
      <c r="BO32" s="357"/>
      <c r="BP32" s="357"/>
      <c r="BQ32" s="390"/>
      <c r="BR32" s="357"/>
      <c r="BS32" s="357"/>
      <c r="BT32" s="357"/>
      <c r="BU32" s="357"/>
      <c r="BV32" s="357"/>
      <c r="BW32" s="357"/>
      <c r="BX32" s="357"/>
      <c r="BY32" s="357"/>
      <c r="BZ32" s="357"/>
      <c r="CA32" s="357"/>
      <c r="CB32" s="357"/>
      <c r="CC32" s="357"/>
      <c r="CD32" s="357"/>
      <c r="CE32" s="329"/>
      <c r="CF32" s="329"/>
      <c r="CG32" s="329"/>
      <c r="CH32" s="329"/>
      <c r="CI32" s="329"/>
      <c r="CJ32" s="329"/>
      <c r="CK32" s="329"/>
      <c r="CL32" s="329"/>
      <c r="CM32" s="329"/>
      <c r="CN32" s="329"/>
      <c r="CO32" s="329"/>
      <c r="CP32" s="329"/>
      <c r="CQ32" s="398">
        <f t="shared" si="24"/>
        <v>0</v>
      </c>
      <c r="CR32" s="331"/>
      <c r="CS32" s="331"/>
      <c r="CT32" s="331"/>
      <c r="CU32" s="331"/>
      <c r="CV32" s="331"/>
      <c r="CW32" s="331"/>
      <c r="CX32" s="331"/>
      <c r="CY32" s="331"/>
      <c r="CZ32" s="331"/>
      <c r="DA32" s="331"/>
      <c r="DB32" s="331"/>
      <c r="DC32" s="331"/>
      <c r="DD32" s="331">
        <f t="shared" si="0"/>
        <v>0</v>
      </c>
      <c r="DE32" s="1"/>
      <c r="DF32" s="1"/>
      <c r="DG32" s="1"/>
      <c r="DH32" s="1"/>
      <c r="DI32" s="1"/>
      <c r="DJ32" s="1"/>
      <c r="DK32" s="1"/>
      <c r="DL32" s="1"/>
      <c r="DM32" s="1"/>
      <c r="DN32" s="1"/>
      <c r="DO32" s="1"/>
      <c r="DP32" s="1"/>
      <c r="DQ32" s="1"/>
    </row>
    <row r="33" spans="1:124" ht="48.75" thickBot="1" x14ac:dyDescent="0.25">
      <c r="A33" s="841"/>
      <c r="B33" s="844"/>
      <c r="C33" s="841"/>
      <c r="D33" s="360" t="s">
        <v>1362</v>
      </c>
      <c r="E33" s="360"/>
      <c r="F33" s="331" t="s">
        <v>1378</v>
      </c>
      <c r="G33" s="841"/>
      <c r="H33" s="844"/>
      <c r="I33" s="844"/>
      <c r="J33" s="847"/>
      <c r="K33" s="852"/>
      <c r="L33" s="349" t="s">
        <v>493</v>
      </c>
      <c r="M33" s="355"/>
      <c r="N33" s="351">
        <f t="shared" si="1"/>
        <v>0</v>
      </c>
      <c r="O33" s="352">
        <f t="shared" si="2"/>
        <v>0</v>
      </c>
      <c r="P33" s="353">
        <f t="shared" si="3"/>
        <v>0</v>
      </c>
      <c r="Q33" s="351">
        <f t="shared" si="4"/>
        <v>0</v>
      </c>
      <c r="R33" s="352">
        <f t="shared" si="25"/>
        <v>0</v>
      </c>
      <c r="S33" s="353">
        <f t="shared" si="26"/>
        <v>0</v>
      </c>
      <c r="T33" s="351">
        <f t="shared" si="7"/>
        <v>0</v>
      </c>
      <c r="U33" s="354">
        <f t="shared" si="8"/>
        <v>0</v>
      </c>
      <c r="V33" s="328">
        <f t="shared" si="17"/>
        <v>0</v>
      </c>
      <c r="W33" s="328">
        <f t="shared" si="22"/>
        <v>0</v>
      </c>
      <c r="X33" s="328">
        <f t="shared" si="23"/>
        <v>0</v>
      </c>
      <c r="Y33" s="450" t="e">
        <f t="shared" si="11"/>
        <v>#VALUE!</v>
      </c>
      <c r="Z33" s="451">
        <f t="shared" si="12"/>
        <v>0</v>
      </c>
      <c r="AA33" s="451">
        <f t="shared" si="13"/>
        <v>0</v>
      </c>
      <c r="AB33" s="451">
        <f t="shared" si="14"/>
        <v>0</v>
      </c>
      <c r="AC33" s="450" t="e">
        <f t="shared" si="18"/>
        <v>#VALUE!</v>
      </c>
      <c r="AD33" s="450"/>
      <c r="AE33" s="450"/>
      <c r="AF33" s="450"/>
      <c r="AG33" s="450"/>
      <c r="AH33" s="356">
        <v>0</v>
      </c>
      <c r="AI33" s="334">
        <v>36</v>
      </c>
      <c r="AJ33" s="334" t="s">
        <v>1304</v>
      </c>
      <c r="AK33" s="334">
        <v>0</v>
      </c>
      <c r="AL33" s="334">
        <v>0</v>
      </c>
      <c r="AM33" s="334" t="s">
        <v>53</v>
      </c>
      <c r="AN33" s="334" t="s">
        <v>53</v>
      </c>
      <c r="AO33" s="334" t="s">
        <v>53</v>
      </c>
      <c r="AP33" s="334" t="s">
        <v>54</v>
      </c>
      <c r="AQ33" s="382" t="s">
        <v>70</v>
      </c>
      <c r="AR33" s="357"/>
      <c r="AS33" s="357"/>
      <c r="AT33" s="357"/>
      <c r="AU33" s="357"/>
      <c r="AV33" s="357"/>
      <c r="AW33" s="357"/>
      <c r="AX33" s="357"/>
      <c r="AY33" s="357"/>
      <c r="AZ33" s="357"/>
      <c r="BA33" s="357"/>
      <c r="BB33" s="357"/>
      <c r="BC33" s="357"/>
      <c r="BD33" s="358"/>
      <c r="BE33" s="357"/>
      <c r="BF33" s="357"/>
      <c r="BG33" s="357"/>
      <c r="BH33" s="357"/>
      <c r="BI33" s="357"/>
      <c r="BJ33" s="357"/>
      <c r="BK33" s="357"/>
      <c r="BL33" s="357"/>
      <c r="BM33" s="357"/>
      <c r="BN33" s="357"/>
      <c r="BO33" s="357"/>
      <c r="BP33" s="357"/>
      <c r="BQ33" s="390"/>
      <c r="BR33" s="357"/>
      <c r="BS33" s="357"/>
      <c r="BT33" s="357"/>
      <c r="BU33" s="357"/>
      <c r="BV33" s="357"/>
      <c r="BW33" s="357"/>
      <c r="BX33" s="357"/>
      <c r="BY33" s="357"/>
      <c r="BZ33" s="357"/>
      <c r="CA33" s="357"/>
      <c r="CB33" s="357"/>
      <c r="CC33" s="357"/>
      <c r="CD33" s="357"/>
      <c r="CE33" s="329"/>
      <c r="CF33" s="329"/>
      <c r="CG33" s="329"/>
      <c r="CH33" s="329"/>
      <c r="CI33" s="329"/>
      <c r="CJ33" s="329"/>
      <c r="CK33" s="329"/>
      <c r="CL33" s="329"/>
      <c r="CM33" s="329"/>
      <c r="CN33" s="329"/>
      <c r="CO33" s="329"/>
      <c r="CP33" s="329"/>
      <c r="CQ33" s="398">
        <f t="shared" si="24"/>
        <v>0</v>
      </c>
      <c r="CR33" s="331"/>
      <c r="CS33" s="331"/>
      <c r="CT33" s="331"/>
      <c r="CU33" s="331"/>
      <c r="CV33" s="331"/>
      <c r="CW33" s="331"/>
      <c r="CX33" s="331"/>
      <c r="CY33" s="331"/>
      <c r="CZ33" s="331"/>
      <c r="DA33" s="331"/>
      <c r="DB33" s="331"/>
      <c r="DC33" s="331"/>
      <c r="DD33" s="331">
        <f t="shared" si="0"/>
        <v>0</v>
      </c>
      <c r="DE33" s="1"/>
      <c r="DF33" s="1"/>
      <c r="DG33" s="1"/>
      <c r="DH33" s="1"/>
      <c r="DI33" s="1"/>
      <c r="DJ33" s="1"/>
      <c r="DK33" s="1"/>
      <c r="DL33" s="1"/>
      <c r="DM33" s="1"/>
      <c r="DN33" s="1"/>
      <c r="DO33" s="1"/>
      <c r="DP33" s="1"/>
      <c r="DQ33" s="1"/>
    </row>
    <row r="34" spans="1:124" ht="48.75" thickBot="1" x14ac:dyDescent="0.25">
      <c r="A34" s="841"/>
      <c r="B34" s="844"/>
      <c r="C34" s="841"/>
      <c r="D34" s="360" t="s">
        <v>1363</v>
      </c>
      <c r="E34" s="360"/>
      <c r="F34" s="331" t="s">
        <v>455</v>
      </c>
      <c r="G34" s="841"/>
      <c r="H34" s="844"/>
      <c r="I34" s="844"/>
      <c r="J34" s="847"/>
      <c r="K34" s="852"/>
      <c r="L34" s="349" t="s">
        <v>493</v>
      </c>
      <c r="M34" s="355"/>
      <c r="N34" s="351">
        <f t="shared" si="1"/>
        <v>0</v>
      </c>
      <c r="O34" s="352">
        <f t="shared" si="2"/>
        <v>0</v>
      </c>
      <c r="P34" s="353">
        <f t="shared" si="3"/>
        <v>0</v>
      </c>
      <c r="Q34" s="351">
        <f t="shared" si="4"/>
        <v>0</v>
      </c>
      <c r="R34" s="352">
        <f t="shared" si="25"/>
        <v>0</v>
      </c>
      <c r="S34" s="353">
        <f t="shared" si="26"/>
        <v>0</v>
      </c>
      <c r="T34" s="351">
        <f t="shared" si="7"/>
        <v>0</v>
      </c>
      <c r="U34" s="354">
        <f t="shared" si="8"/>
        <v>0</v>
      </c>
      <c r="V34" s="328">
        <f t="shared" si="17"/>
        <v>0</v>
      </c>
      <c r="W34" s="328">
        <f t="shared" si="22"/>
        <v>224812.22</v>
      </c>
      <c r="X34" s="328">
        <f t="shared" si="23"/>
        <v>224812.22</v>
      </c>
      <c r="Y34" s="450" t="e">
        <f t="shared" si="11"/>
        <v>#VALUE!</v>
      </c>
      <c r="Z34" s="451">
        <f t="shared" si="12"/>
        <v>224812.22</v>
      </c>
      <c r="AA34" s="451">
        <f t="shared" si="13"/>
        <v>0</v>
      </c>
      <c r="AB34" s="451">
        <f t="shared" si="14"/>
        <v>224812.22</v>
      </c>
      <c r="AC34" s="450" t="e">
        <f t="shared" si="18"/>
        <v>#VALUE!</v>
      </c>
      <c r="AD34" s="450"/>
      <c r="AE34" s="450"/>
      <c r="AF34" s="450"/>
      <c r="AG34" s="450"/>
      <c r="AH34" s="356">
        <v>0</v>
      </c>
      <c r="AI34" s="334">
        <v>36</v>
      </c>
      <c r="AJ34" s="334" t="s">
        <v>1304</v>
      </c>
      <c r="AK34" s="334">
        <v>0</v>
      </c>
      <c r="AL34" s="334">
        <v>0</v>
      </c>
      <c r="AM34" s="334" t="s">
        <v>53</v>
      </c>
      <c r="AN34" s="334" t="s">
        <v>53</v>
      </c>
      <c r="AO34" s="334" t="s">
        <v>53</v>
      </c>
      <c r="AP34" s="334" t="s">
        <v>54</v>
      </c>
      <c r="AQ34" s="382" t="s">
        <v>70</v>
      </c>
      <c r="AR34" s="357"/>
      <c r="AS34" s="357"/>
      <c r="AT34" s="357"/>
      <c r="AU34" s="357"/>
      <c r="AV34" s="357"/>
      <c r="AW34" s="357"/>
      <c r="AX34" s="357"/>
      <c r="AY34" s="357"/>
      <c r="AZ34" s="357"/>
      <c r="BA34" s="357"/>
      <c r="BB34" s="357"/>
      <c r="BC34" s="357"/>
      <c r="BD34" s="358"/>
      <c r="BE34" s="357"/>
      <c r="BF34" s="357"/>
      <c r="BG34" s="357"/>
      <c r="BH34" s="357"/>
      <c r="BI34" s="357"/>
      <c r="BJ34" s="357"/>
      <c r="BK34" s="357"/>
      <c r="BL34" s="357"/>
      <c r="BM34" s="357"/>
      <c r="BN34" s="357"/>
      <c r="BO34" s="357"/>
      <c r="BP34" s="357"/>
      <c r="BQ34" s="390"/>
      <c r="BR34" s="357"/>
      <c r="BS34" s="357"/>
      <c r="BT34" s="357"/>
      <c r="BU34" s="357"/>
      <c r="BV34" s="357"/>
      <c r="BW34" s="357"/>
      <c r="BX34" s="357"/>
      <c r="BY34" s="357"/>
      <c r="BZ34" s="357"/>
      <c r="CA34" s="357"/>
      <c r="CB34" s="357"/>
      <c r="CC34" s="357"/>
      <c r="CD34" s="357"/>
      <c r="CE34" s="329"/>
      <c r="CF34" s="329"/>
      <c r="CG34" s="329"/>
      <c r="CH34" s="329">
        <v>112406.11</v>
      </c>
      <c r="CI34" s="329">
        <v>112406.11</v>
      </c>
      <c r="CJ34" s="329"/>
      <c r="CK34" s="329"/>
      <c r="CL34" s="329"/>
      <c r="CM34" s="329"/>
      <c r="CN34" s="329"/>
      <c r="CO34" s="329"/>
      <c r="CP34" s="329"/>
      <c r="CQ34" s="398">
        <f t="shared" si="24"/>
        <v>224812.22</v>
      </c>
      <c r="CR34" s="331"/>
      <c r="CS34" s="331"/>
      <c r="CT34" s="331"/>
      <c r="CU34" s="331"/>
      <c r="CV34" s="331"/>
      <c r="CW34" s="331"/>
      <c r="CX34" s="331"/>
      <c r="CY34" s="331"/>
      <c r="CZ34" s="331"/>
      <c r="DA34" s="331"/>
      <c r="DB34" s="331"/>
      <c r="DC34" s="331"/>
      <c r="DD34" s="331">
        <f t="shared" si="0"/>
        <v>0</v>
      </c>
      <c r="DE34" s="1"/>
      <c r="DF34" s="1"/>
      <c r="DG34" s="1"/>
      <c r="DH34" s="1"/>
      <c r="DI34" s="1"/>
      <c r="DJ34" s="1"/>
      <c r="DK34" s="1"/>
      <c r="DL34" s="1"/>
      <c r="DM34" s="1"/>
      <c r="DN34" s="1"/>
      <c r="DO34" s="1"/>
      <c r="DP34" s="1"/>
      <c r="DQ34" s="1"/>
    </row>
    <row r="35" spans="1:124" ht="48.75" thickBot="1" x14ac:dyDescent="0.25">
      <c r="A35" s="841"/>
      <c r="B35" s="844"/>
      <c r="C35" s="841"/>
      <c r="D35" s="331" t="s">
        <v>1364</v>
      </c>
      <c r="E35" s="331"/>
      <c r="F35" s="331" t="s">
        <v>1448</v>
      </c>
      <c r="G35" s="841"/>
      <c r="H35" s="844"/>
      <c r="I35" s="844"/>
      <c r="J35" s="847"/>
      <c r="K35" s="852"/>
      <c r="L35" s="349" t="s">
        <v>493</v>
      </c>
      <c r="M35" s="355"/>
      <c r="N35" s="351">
        <f t="shared" si="1"/>
        <v>0</v>
      </c>
      <c r="O35" s="352">
        <f t="shared" si="2"/>
        <v>0</v>
      </c>
      <c r="P35" s="353">
        <f t="shared" si="3"/>
        <v>0</v>
      </c>
      <c r="Q35" s="351">
        <f t="shared" si="4"/>
        <v>0</v>
      </c>
      <c r="R35" s="352">
        <f t="shared" si="25"/>
        <v>0</v>
      </c>
      <c r="S35" s="353">
        <f t="shared" si="26"/>
        <v>0</v>
      </c>
      <c r="T35" s="351">
        <f t="shared" si="7"/>
        <v>0</v>
      </c>
      <c r="U35" s="354">
        <f t="shared" si="8"/>
        <v>0</v>
      </c>
      <c r="V35" s="328">
        <f t="shared" si="17"/>
        <v>0</v>
      </c>
      <c r="W35" s="328">
        <f t="shared" si="22"/>
        <v>0</v>
      </c>
      <c r="X35" s="328">
        <f t="shared" si="23"/>
        <v>0</v>
      </c>
      <c r="Y35" s="450" t="e">
        <f t="shared" si="11"/>
        <v>#VALUE!</v>
      </c>
      <c r="Z35" s="451">
        <f t="shared" si="12"/>
        <v>0</v>
      </c>
      <c r="AA35" s="451">
        <f t="shared" si="13"/>
        <v>0</v>
      </c>
      <c r="AB35" s="451">
        <f t="shared" si="14"/>
        <v>0</v>
      </c>
      <c r="AC35" s="450" t="e">
        <f t="shared" si="18"/>
        <v>#VALUE!</v>
      </c>
      <c r="AD35" s="450"/>
      <c r="AE35" s="450"/>
      <c r="AF35" s="450"/>
      <c r="AG35" s="450"/>
      <c r="AH35" s="356">
        <v>0</v>
      </c>
      <c r="AI35" s="334">
        <v>36</v>
      </c>
      <c r="AJ35" s="334" t="s">
        <v>1304</v>
      </c>
      <c r="AK35" s="334">
        <v>0</v>
      </c>
      <c r="AL35" s="334">
        <v>0</v>
      </c>
      <c r="AM35" s="334" t="s">
        <v>53</v>
      </c>
      <c r="AN35" s="334" t="s">
        <v>53</v>
      </c>
      <c r="AO35" s="334" t="s">
        <v>53</v>
      </c>
      <c r="AP35" s="334" t="s">
        <v>54</v>
      </c>
      <c r="AQ35" s="382" t="s">
        <v>70</v>
      </c>
      <c r="AR35" s="357"/>
      <c r="AS35" s="357"/>
      <c r="AT35" s="357"/>
      <c r="AU35" s="357"/>
      <c r="AV35" s="357"/>
      <c r="AW35" s="357"/>
      <c r="AX35" s="357"/>
      <c r="AY35" s="357"/>
      <c r="AZ35" s="357"/>
      <c r="BA35" s="357"/>
      <c r="BB35" s="357"/>
      <c r="BC35" s="357"/>
      <c r="BD35" s="358"/>
      <c r="BE35" s="357"/>
      <c r="BF35" s="357"/>
      <c r="BG35" s="357"/>
      <c r="BH35" s="357"/>
      <c r="BI35" s="357"/>
      <c r="BJ35" s="357"/>
      <c r="BK35" s="357"/>
      <c r="BL35" s="357"/>
      <c r="BM35" s="357"/>
      <c r="BN35" s="357"/>
      <c r="BO35" s="357"/>
      <c r="BP35" s="357"/>
      <c r="BQ35" s="390"/>
      <c r="BR35" s="357"/>
      <c r="BS35" s="357"/>
      <c r="BT35" s="357"/>
      <c r="BU35" s="357"/>
      <c r="BV35" s="357"/>
      <c r="BW35" s="357"/>
      <c r="BX35" s="357"/>
      <c r="BY35" s="357"/>
      <c r="BZ35" s="357"/>
      <c r="CA35" s="357"/>
      <c r="CB35" s="357"/>
      <c r="CC35" s="357"/>
      <c r="CD35" s="357"/>
      <c r="CE35" s="329"/>
      <c r="CF35" s="329"/>
      <c r="CG35" s="329"/>
      <c r="CH35" s="329"/>
      <c r="CI35" s="329"/>
      <c r="CJ35" s="329"/>
      <c r="CK35" s="329"/>
      <c r="CL35" s="329"/>
      <c r="CM35" s="329"/>
      <c r="CN35" s="329"/>
      <c r="CO35" s="329"/>
      <c r="CP35" s="329"/>
      <c r="CQ35" s="398">
        <f t="shared" si="24"/>
        <v>0</v>
      </c>
      <c r="CR35" s="331"/>
      <c r="CS35" s="331"/>
      <c r="CT35" s="331"/>
      <c r="CU35" s="331"/>
      <c r="CV35" s="331"/>
      <c r="CW35" s="331"/>
      <c r="CX35" s="331"/>
      <c r="CY35" s="331"/>
      <c r="CZ35" s="331"/>
      <c r="DA35" s="331"/>
      <c r="DB35" s="331"/>
      <c r="DC35" s="331"/>
      <c r="DD35" s="331">
        <f t="shared" ref="DD35:DD66" si="27">SUM(CR35:DC35)</f>
        <v>0</v>
      </c>
      <c r="DE35" s="1"/>
      <c r="DF35" s="1"/>
      <c r="DG35" s="1"/>
      <c r="DH35" s="1"/>
      <c r="DI35" s="1"/>
      <c r="DJ35" s="1"/>
      <c r="DK35" s="1"/>
      <c r="DL35" s="1"/>
      <c r="DM35" s="1"/>
      <c r="DN35" s="1"/>
      <c r="DO35" s="1"/>
      <c r="DP35" s="1"/>
      <c r="DQ35" s="1"/>
    </row>
    <row r="36" spans="1:124" ht="12.75" thickBot="1" x14ac:dyDescent="0.25">
      <c r="A36" s="842"/>
      <c r="B36" s="845"/>
      <c r="C36" s="842"/>
      <c r="D36" s="331" t="s">
        <v>1412</v>
      </c>
      <c r="E36" s="331"/>
      <c r="F36" s="331" t="s">
        <v>1450</v>
      </c>
      <c r="G36" s="842"/>
      <c r="H36" s="845"/>
      <c r="I36" s="845"/>
      <c r="J36" s="848"/>
      <c r="K36" s="853"/>
      <c r="L36" s="349"/>
      <c r="M36" s="355"/>
      <c r="N36" s="351"/>
      <c r="O36" s="352"/>
      <c r="P36" s="353"/>
      <c r="Q36" s="351"/>
      <c r="R36" s="352"/>
      <c r="S36" s="353"/>
      <c r="T36" s="351"/>
      <c r="U36" s="354"/>
      <c r="V36" s="328"/>
      <c r="W36" s="328"/>
      <c r="X36" s="328"/>
      <c r="Y36" s="450">
        <f t="shared" ref="Y36:Y67" si="28">L36-X36</f>
        <v>0</v>
      </c>
      <c r="Z36" s="451">
        <f t="shared" ref="Z36:Z67" si="29">X36</f>
        <v>0</v>
      </c>
      <c r="AA36" s="451">
        <f t="shared" ref="AA36:AA67" si="30">DD36</f>
        <v>0</v>
      </c>
      <c r="AB36" s="451">
        <f t="shared" ref="AB36:AB67" si="31">Z36+AA36</f>
        <v>0</v>
      </c>
      <c r="AC36" s="450"/>
      <c r="AD36" s="450"/>
      <c r="AE36" s="450"/>
      <c r="AF36" s="450"/>
      <c r="AG36" s="450"/>
      <c r="AH36" s="356"/>
      <c r="AI36" s="334"/>
      <c r="AJ36" s="334"/>
      <c r="AK36" s="334"/>
      <c r="AL36" s="334"/>
      <c r="AM36" s="334"/>
      <c r="AN36" s="334"/>
      <c r="AO36" s="334"/>
      <c r="AP36" s="334"/>
      <c r="AQ36" s="382"/>
      <c r="AR36" s="357"/>
      <c r="AS36" s="357"/>
      <c r="AT36" s="357"/>
      <c r="AU36" s="357"/>
      <c r="AV36" s="357"/>
      <c r="AW36" s="357"/>
      <c r="AX36" s="357"/>
      <c r="AY36" s="357"/>
      <c r="AZ36" s="357"/>
      <c r="BA36" s="357"/>
      <c r="BB36" s="357"/>
      <c r="BC36" s="357"/>
      <c r="BD36" s="358"/>
      <c r="BE36" s="357"/>
      <c r="BF36" s="357"/>
      <c r="BG36" s="357"/>
      <c r="BH36" s="357"/>
      <c r="BI36" s="357"/>
      <c r="BJ36" s="357"/>
      <c r="BK36" s="357"/>
      <c r="BL36" s="357"/>
      <c r="BM36" s="357"/>
      <c r="BN36" s="357"/>
      <c r="BO36" s="357"/>
      <c r="BP36" s="357"/>
      <c r="BQ36" s="390"/>
      <c r="BR36" s="357"/>
      <c r="BS36" s="357"/>
      <c r="BT36" s="357"/>
      <c r="BU36" s="357"/>
      <c r="BV36" s="357"/>
      <c r="BW36" s="357"/>
      <c r="BX36" s="357"/>
      <c r="BY36" s="357"/>
      <c r="BZ36" s="357"/>
      <c r="CA36" s="357"/>
      <c r="CB36" s="357"/>
      <c r="CC36" s="357"/>
      <c r="CD36" s="357"/>
      <c r="CE36" s="329"/>
      <c r="CF36" s="329"/>
      <c r="CG36" s="329"/>
      <c r="CH36" s="329"/>
      <c r="CI36" s="329"/>
      <c r="CJ36" s="329"/>
      <c r="CK36" s="329"/>
      <c r="CL36" s="329"/>
      <c r="CM36" s="329"/>
      <c r="CN36" s="329"/>
      <c r="CO36" s="329"/>
      <c r="CP36" s="329"/>
      <c r="CQ36" s="398"/>
      <c r="CR36" s="331"/>
      <c r="CS36" s="331"/>
      <c r="CT36" s="331"/>
      <c r="CU36" s="331"/>
      <c r="CV36" s="331"/>
      <c r="CW36" s="331"/>
      <c r="CX36" s="331"/>
      <c r="CY36" s="331"/>
      <c r="CZ36" s="331"/>
      <c r="DA36" s="331"/>
      <c r="DB36" s="331"/>
      <c r="DC36" s="331"/>
      <c r="DD36" s="331">
        <f t="shared" si="27"/>
        <v>0</v>
      </c>
      <c r="DE36" s="1"/>
      <c r="DF36" s="1"/>
      <c r="DG36" s="1"/>
      <c r="DH36" s="1"/>
      <c r="DI36" s="1"/>
      <c r="DJ36" s="1"/>
      <c r="DK36" s="1"/>
      <c r="DL36" s="1"/>
      <c r="DM36" s="1"/>
      <c r="DN36" s="1"/>
      <c r="DO36" s="1"/>
      <c r="DP36" s="1"/>
      <c r="DQ36" s="1"/>
    </row>
    <row r="37" spans="1:124" s="624" customFormat="1" ht="48" x14ac:dyDescent="0.2">
      <c r="A37" s="673" t="s">
        <v>1397</v>
      </c>
      <c r="B37" s="673" t="s">
        <v>107</v>
      </c>
      <c r="C37" s="673" t="s">
        <v>1398</v>
      </c>
      <c r="D37" s="673" t="s">
        <v>382</v>
      </c>
      <c r="E37" s="673"/>
      <c r="F37" s="673" t="s">
        <v>383</v>
      </c>
      <c r="G37" s="673" t="s">
        <v>49</v>
      </c>
      <c r="H37" s="911" t="s">
        <v>328</v>
      </c>
      <c r="I37" s="911" t="s">
        <v>384</v>
      </c>
      <c r="J37" s="701">
        <v>44902</v>
      </c>
      <c r="K37" s="701">
        <v>45998</v>
      </c>
      <c r="L37" s="913" t="s">
        <v>493</v>
      </c>
      <c r="M37" s="914"/>
      <c r="N37" s="915">
        <f t="shared" ref="N37:N69" si="32">BD37</f>
        <v>0</v>
      </c>
      <c r="O37" s="916">
        <f t="shared" ref="O37:O69" si="33">N37+M37</f>
        <v>0</v>
      </c>
      <c r="P37" s="917">
        <f t="shared" ref="P37:P69" si="34">O37</f>
        <v>0</v>
      </c>
      <c r="Q37" s="915">
        <f t="shared" ref="Q37:Q69" si="35">BQ37</f>
        <v>0</v>
      </c>
      <c r="R37" s="916">
        <f>EXPIRED!O313+EXPIRED!P313</f>
        <v>0</v>
      </c>
      <c r="S37" s="917">
        <f t="shared" ref="S37:S69" si="36">R37</f>
        <v>0</v>
      </c>
      <c r="T37" s="915">
        <f t="shared" ref="T37:T69" si="37">CD37</f>
        <v>0</v>
      </c>
      <c r="U37" s="918">
        <f t="shared" ref="U37:U69" si="38">S37+T37</f>
        <v>0</v>
      </c>
      <c r="V37" s="915">
        <f t="shared" ref="V37:V69" si="39">U37</f>
        <v>0</v>
      </c>
      <c r="W37" s="914"/>
      <c r="X37" s="914">
        <f t="shared" ref="X37:X69" si="40">V37+W37</f>
        <v>0</v>
      </c>
      <c r="Y37" s="919" t="e">
        <f t="shared" si="28"/>
        <v>#VALUE!</v>
      </c>
      <c r="Z37" s="920">
        <f t="shared" si="29"/>
        <v>0</v>
      </c>
      <c r="AA37" s="920">
        <f t="shared" si="30"/>
        <v>3411916.5999999996</v>
      </c>
      <c r="AB37" s="920">
        <f t="shared" si="31"/>
        <v>3411916.5999999996</v>
      </c>
      <c r="AC37" s="919" t="e">
        <f t="shared" ref="AC37:AC67" si="41">L37-AB37</f>
        <v>#VALUE!</v>
      </c>
      <c r="AD37" s="919"/>
      <c r="AE37" s="919"/>
      <c r="AF37" s="919"/>
      <c r="AG37" s="919"/>
      <c r="AH37" s="921">
        <v>0</v>
      </c>
      <c r="AI37" s="697">
        <v>36</v>
      </c>
      <c r="AJ37" s="697" t="s">
        <v>1304</v>
      </c>
      <c r="AK37" s="697">
        <v>0</v>
      </c>
      <c r="AL37" s="697">
        <v>0</v>
      </c>
      <c r="AM37" s="697" t="s">
        <v>53</v>
      </c>
      <c r="AN37" s="697" t="s">
        <v>53</v>
      </c>
      <c r="AO37" s="697" t="s">
        <v>53</v>
      </c>
      <c r="AP37" s="697" t="s">
        <v>54</v>
      </c>
      <c r="AQ37" s="911" t="s">
        <v>70</v>
      </c>
      <c r="AR37" s="922"/>
      <c r="AS37" s="922"/>
      <c r="AT37" s="922"/>
      <c r="AU37" s="922"/>
      <c r="AV37" s="922"/>
      <c r="AW37" s="922"/>
      <c r="AX37" s="922"/>
      <c r="AY37" s="922"/>
      <c r="AZ37" s="922"/>
      <c r="BA37" s="922"/>
      <c r="BB37" s="922"/>
      <c r="BC37" s="922"/>
      <c r="BD37" s="923"/>
      <c r="BE37" s="922"/>
      <c r="BF37" s="922"/>
      <c r="BG37" s="922"/>
      <c r="BH37" s="922"/>
      <c r="BI37" s="922"/>
      <c r="BJ37" s="922"/>
      <c r="BK37" s="922"/>
      <c r="BL37" s="922"/>
      <c r="BM37" s="922"/>
      <c r="BN37" s="922"/>
      <c r="BO37" s="922"/>
      <c r="BP37" s="922"/>
      <c r="BQ37" s="924"/>
      <c r="BR37" s="922"/>
      <c r="BS37" s="922"/>
      <c r="BT37" s="922"/>
      <c r="BU37" s="922"/>
      <c r="BV37" s="922"/>
      <c r="BW37" s="922"/>
      <c r="BX37" s="922"/>
      <c r="BY37" s="922"/>
      <c r="BZ37" s="922"/>
      <c r="CA37" s="922"/>
      <c r="CB37" s="922"/>
      <c r="CC37" s="922"/>
      <c r="CD37" s="922"/>
      <c r="CE37" s="673"/>
      <c r="CF37" s="673"/>
      <c r="CG37" s="673"/>
      <c r="CH37" s="673"/>
      <c r="CI37" s="673">
        <v>792636.5</v>
      </c>
      <c r="CJ37" s="673"/>
      <c r="CK37" s="673"/>
      <c r="CL37" s="673">
        <v>453465.7</v>
      </c>
      <c r="CM37" s="673"/>
      <c r="CN37" s="673"/>
      <c r="CO37" s="673"/>
      <c r="CP37" s="673"/>
      <c r="CQ37" s="674">
        <f t="shared" ref="CQ37:CQ47" si="42">SUM(CE37:CP37)</f>
        <v>1246102.2</v>
      </c>
      <c r="CR37" s="673">
        <v>0</v>
      </c>
      <c r="CS37" s="673">
        <v>0</v>
      </c>
      <c r="CT37" s="673">
        <f>741842+860758.9</f>
        <v>1602600.9</v>
      </c>
      <c r="CU37" s="673"/>
      <c r="CV37" s="673"/>
      <c r="CW37" s="673">
        <f>515625.5+542225</f>
        <v>1057850.5</v>
      </c>
      <c r="CX37" s="673"/>
      <c r="CY37" s="673"/>
      <c r="CZ37" s="673"/>
      <c r="DA37" s="673">
        <f>569192.5+182272.7</f>
        <v>751465.2</v>
      </c>
      <c r="DB37" s="673"/>
      <c r="DC37" s="673"/>
      <c r="DD37" s="673">
        <f>SUM(CR37:DC37)</f>
        <v>3411916.5999999996</v>
      </c>
      <c r="DE37" s="673"/>
      <c r="DF37" s="673"/>
      <c r="DG37" s="673"/>
      <c r="DH37" s="673">
        <f>1088685.16+946682.75</f>
        <v>2035367.91</v>
      </c>
      <c r="DI37" s="673"/>
      <c r="DJ37" s="673">
        <v>815759.25</v>
      </c>
      <c r="DK37" s="673"/>
      <c r="DL37" s="673"/>
      <c r="DM37" s="673">
        <v>593175.75</v>
      </c>
      <c r="DN37" s="673"/>
      <c r="DO37" s="673"/>
      <c r="DP37" s="673"/>
      <c r="DQ37" s="673"/>
    </row>
    <row r="38" spans="1:124" s="624" customFormat="1" ht="48.75" x14ac:dyDescent="0.25">
      <c r="A38" s="658" t="s">
        <v>2045</v>
      </c>
      <c r="B38" s="469" t="s">
        <v>107</v>
      </c>
      <c r="C38" s="658" t="s">
        <v>1399</v>
      </c>
      <c r="D38" s="469" t="s">
        <v>356</v>
      </c>
      <c r="E38" s="469"/>
      <c r="F38" s="469" t="s">
        <v>357</v>
      </c>
      <c r="G38" s="469" t="s">
        <v>49</v>
      </c>
      <c r="H38" s="608" t="s">
        <v>354</v>
      </c>
      <c r="I38" s="608" t="s">
        <v>316</v>
      </c>
      <c r="J38" s="910">
        <v>44818</v>
      </c>
      <c r="K38" s="910">
        <v>45914</v>
      </c>
      <c r="L38" s="626" t="s">
        <v>493</v>
      </c>
      <c r="M38" s="626"/>
      <c r="N38" s="547">
        <f t="shared" si="32"/>
        <v>0</v>
      </c>
      <c r="O38" s="547">
        <f t="shared" si="33"/>
        <v>0</v>
      </c>
      <c r="P38" s="547">
        <f t="shared" si="34"/>
        <v>0</v>
      </c>
      <c r="Q38" s="547">
        <f t="shared" si="35"/>
        <v>0</v>
      </c>
      <c r="R38" s="547">
        <f>EXPIRED!O314+EXPIRED!P314</f>
        <v>0</v>
      </c>
      <c r="S38" s="547">
        <f t="shared" si="36"/>
        <v>0</v>
      </c>
      <c r="T38" s="547">
        <f t="shared" si="37"/>
        <v>0</v>
      </c>
      <c r="U38" s="547">
        <f t="shared" si="38"/>
        <v>0</v>
      </c>
      <c r="V38" s="547">
        <f t="shared" si="39"/>
        <v>0</v>
      </c>
      <c r="W38" s="626"/>
      <c r="X38" s="626">
        <f t="shared" si="40"/>
        <v>0</v>
      </c>
      <c r="Y38" s="629" t="e">
        <f t="shared" si="28"/>
        <v>#VALUE!</v>
      </c>
      <c r="Z38" s="547">
        <f t="shared" si="29"/>
        <v>0</v>
      </c>
      <c r="AA38" s="547">
        <f t="shared" si="30"/>
        <v>469797.02800000005</v>
      </c>
      <c r="AB38" s="547">
        <f t="shared" si="31"/>
        <v>469797.02800000005</v>
      </c>
      <c r="AC38" s="629" t="e">
        <f t="shared" si="41"/>
        <v>#VALUE!</v>
      </c>
      <c r="AD38" s="629"/>
      <c r="AE38" s="629"/>
      <c r="AF38" s="629"/>
      <c r="AG38" s="629"/>
      <c r="AH38" s="679">
        <v>0</v>
      </c>
      <c r="AI38" s="617">
        <v>36</v>
      </c>
      <c r="AJ38" s="617" t="s">
        <v>1304</v>
      </c>
      <c r="AK38" s="617">
        <v>0</v>
      </c>
      <c r="AL38" s="617">
        <v>0</v>
      </c>
      <c r="AM38" s="617" t="s">
        <v>53</v>
      </c>
      <c r="AN38" s="617" t="s">
        <v>53</v>
      </c>
      <c r="AO38" s="617" t="s">
        <v>53</v>
      </c>
      <c r="AP38" s="617" t="s">
        <v>54</v>
      </c>
      <c r="AQ38" s="608" t="s">
        <v>70</v>
      </c>
      <c r="AR38" s="618"/>
      <c r="AS38" s="618"/>
      <c r="AT38" s="618"/>
      <c r="AU38" s="618"/>
      <c r="AV38" s="618"/>
      <c r="AW38" s="618"/>
      <c r="AX38" s="618"/>
      <c r="AY38" s="618"/>
      <c r="AZ38" s="618"/>
      <c r="BA38" s="618"/>
      <c r="BB38" s="618"/>
      <c r="BC38" s="618"/>
      <c r="BD38" s="620"/>
      <c r="BE38" s="618"/>
      <c r="BF38" s="618"/>
      <c r="BG38" s="618"/>
      <c r="BH38" s="618"/>
      <c r="BI38" s="618"/>
      <c r="BJ38" s="618"/>
      <c r="BK38" s="618"/>
      <c r="BL38" s="618"/>
      <c r="BM38" s="618"/>
      <c r="BN38" s="618"/>
      <c r="BO38" s="618"/>
      <c r="BP38" s="618"/>
      <c r="BQ38" s="634"/>
      <c r="BR38" s="618"/>
      <c r="BS38" s="618"/>
      <c r="BT38" s="618"/>
      <c r="BU38" s="618"/>
      <c r="BV38" s="618"/>
      <c r="BW38" s="618"/>
      <c r="BX38" s="618"/>
      <c r="BY38" s="618"/>
      <c r="BZ38" s="618"/>
      <c r="CA38" s="618"/>
      <c r="CB38" s="618"/>
      <c r="CC38" s="618"/>
      <c r="CD38" s="618"/>
      <c r="CE38" s="469">
        <v>48367.67</v>
      </c>
      <c r="CF38" s="469">
        <v>47649.81</v>
      </c>
      <c r="CG38" s="469">
        <v>51246.74</v>
      </c>
      <c r="CH38" s="469">
        <v>40529.589999999997</v>
      </c>
      <c r="CI38" s="469">
        <v>40071.550000000003</v>
      </c>
      <c r="CJ38" s="469">
        <v>39112.67</v>
      </c>
      <c r="CK38" s="469"/>
      <c r="CL38" s="469"/>
      <c r="CM38" s="469">
        <f>36774.29+31705.28+38876.96</f>
        <v>107356.53</v>
      </c>
      <c r="CN38" s="469">
        <v>36685.620000000003</v>
      </c>
      <c r="CO38" s="469"/>
      <c r="CP38" s="469">
        <f>34978.55+38386.14</f>
        <v>73364.69</v>
      </c>
      <c r="CQ38" s="469">
        <f t="shared" si="42"/>
        <v>484384.86999999994</v>
      </c>
      <c r="CR38" s="469">
        <v>0</v>
      </c>
      <c r="CS38" s="469">
        <v>40057.61</v>
      </c>
      <c r="CT38" s="469">
        <v>39498.21</v>
      </c>
      <c r="CU38" s="991">
        <v>36123.006500000003</v>
      </c>
      <c r="CV38" s="469">
        <v>37214.99</v>
      </c>
      <c r="CW38" s="469">
        <v>0</v>
      </c>
      <c r="CX38" s="991">
        <f>39644.525+34966.9115</f>
        <v>74611.436500000011</v>
      </c>
      <c r="CY38" s="991">
        <v>37454.476499999997</v>
      </c>
      <c r="CZ38" s="991">
        <v>34148.410499999998</v>
      </c>
      <c r="DA38" s="991">
        <v>39405.3825</v>
      </c>
      <c r="DB38" s="991">
        <v>41648.8485</v>
      </c>
      <c r="DC38" s="991">
        <f>41720.4705+47914.1865</f>
        <v>89634.657000000007</v>
      </c>
      <c r="DD38" s="469">
        <f t="shared" si="27"/>
        <v>469797.02800000005</v>
      </c>
      <c r="DE38" s="469"/>
      <c r="DF38" s="469">
        <v>54104.92</v>
      </c>
      <c r="DG38" s="469">
        <v>52899.77</v>
      </c>
      <c r="DH38" s="469">
        <v>49375.94</v>
      </c>
      <c r="DI38" s="469">
        <v>48551.75</v>
      </c>
      <c r="DJ38" s="469">
        <v>47656.6</v>
      </c>
      <c r="DK38" s="469">
        <f>51925.77+47139.68</f>
        <v>99065.45</v>
      </c>
      <c r="DL38" s="469">
        <v>42651.56</v>
      </c>
      <c r="DM38" s="469">
        <v>47892.58</v>
      </c>
      <c r="DN38" s="469">
        <v>50116.959999999999</v>
      </c>
      <c r="DO38" s="469">
        <v>52089.17</v>
      </c>
      <c r="DP38" s="469"/>
      <c r="DQ38" s="469"/>
      <c r="DR38" s="469"/>
      <c r="DS38" s="469"/>
      <c r="DT38" s="469"/>
    </row>
    <row r="39" spans="1:124" ht="48" x14ac:dyDescent="0.2">
      <c r="A39" s="44" t="s">
        <v>2046</v>
      </c>
      <c r="B39" s="331" t="s">
        <v>107</v>
      </c>
      <c r="C39" s="823" t="s">
        <v>1379</v>
      </c>
      <c r="D39" s="331" t="s">
        <v>1336</v>
      </c>
      <c r="E39" s="331"/>
      <c r="F39" s="331" t="s">
        <v>1366</v>
      </c>
      <c r="G39" s="331" t="s">
        <v>49</v>
      </c>
      <c r="H39" s="331" t="s">
        <v>1306</v>
      </c>
      <c r="I39" s="331" t="s">
        <v>316</v>
      </c>
      <c r="J39" s="402">
        <v>44759</v>
      </c>
      <c r="K39" s="335" t="s">
        <v>1380</v>
      </c>
      <c r="L39" s="457" t="s">
        <v>493</v>
      </c>
      <c r="M39" s="350"/>
      <c r="N39" s="328">
        <f t="shared" si="32"/>
        <v>0</v>
      </c>
      <c r="O39" s="328">
        <f t="shared" si="33"/>
        <v>0</v>
      </c>
      <c r="P39" s="328">
        <f t="shared" si="34"/>
        <v>0</v>
      </c>
      <c r="Q39" s="328">
        <f t="shared" si="35"/>
        <v>0</v>
      </c>
      <c r="R39" s="328">
        <f t="shared" ref="R39:R69" si="43">P37+Q37</f>
        <v>0</v>
      </c>
      <c r="S39" s="328">
        <f t="shared" si="36"/>
        <v>0</v>
      </c>
      <c r="T39" s="328">
        <f t="shared" si="37"/>
        <v>0</v>
      </c>
      <c r="U39" s="328">
        <f t="shared" si="38"/>
        <v>0</v>
      </c>
      <c r="V39" s="328">
        <f t="shared" si="39"/>
        <v>0</v>
      </c>
      <c r="W39" s="328">
        <f t="shared" ref="W39:W46" si="44">CQ39</f>
        <v>0</v>
      </c>
      <c r="X39" s="355">
        <f t="shared" si="40"/>
        <v>0</v>
      </c>
      <c r="Y39" s="895" t="e">
        <f t="shared" si="28"/>
        <v>#VALUE!</v>
      </c>
      <c r="Z39" s="328">
        <f t="shared" si="29"/>
        <v>0</v>
      </c>
      <c r="AA39" s="328">
        <f t="shared" si="30"/>
        <v>0</v>
      </c>
      <c r="AB39" s="328">
        <f t="shared" si="31"/>
        <v>0</v>
      </c>
      <c r="AC39" s="895" t="e">
        <f t="shared" si="41"/>
        <v>#VALUE!</v>
      </c>
      <c r="AD39" s="895"/>
      <c r="AE39" s="895"/>
      <c r="AF39" s="895"/>
      <c r="AG39" s="895"/>
      <c r="AH39" s="896">
        <v>0</v>
      </c>
      <c r="AI39" s="334">
        <v>36</v>
      </c>
      <c r="AJ39" s="334" t="s">
        <v>1304</v>
      </c>
      <c r="AK39" s="334">
        <v>0</v>
      </c>
      <c r="AL39" s="334">
        <v>0</v>
      </c>
      <c r="AM39" s="334" t="s">
        <v>53</v>
      </c>
      <c r="AN39" s="334" t="s">
        <v>53</v>
      </c>
      <c r="AO39" s="334" t="s">
        <v>53</v>
      </c>
      <c r="AP39" s="334" t="s">
        <v>54</v>
      </c>
      <c r="AQ39" s="382" t="s">
        <v>70</v>
      </c>
      <c r="AR39" s="335"/>
      <c r="AS39" s="335"/>
      <c r="AT39" s="335"/>
      <c r="AU39" s="331"/>
      <c r="AV39" s="357"/>
      <c r="AW39" s="357"/>
      <c r="AX39" s="357"/>
      <c r="AY39" s="357"/>
      <c r="AZ39" s="357"/>
      <c r="BA39" s="357"/>
      <c r="BB39" s="357"/>
      <c r="BC39" s="357"/>
      <c r="BD39" s="357"/>
      <c r="BE39" s="357"/>
      <c r="BF39" s="357"/>
      <c r="BG39" s="357"/>
      <c r="BH39" s="358"/>
      <c r="BI39" s="357"/>
      <c r="BJ39" s="357"/>
      <c r="BK39" s="357"/>
      <c r="BL39" s="357"/>
      <c r="BM39" s="357"/>
      <c r="BN39" s="357"/>
      <c r="BO39" s="357"/>
      <c r="BP39" s="357"/>
      <c r="BQ39" s="357"/>
      <c r="BR39" s="357"/>
      <c r="BS39" s="357"/>
      <c r="BT39" s="357"/>
      <c r="BU39" s="357"/>
      <c r="BV39" s="357"/>
      <c r="BW39" s="357"/>
      <c r="BX39" s="357"/>
      <c r="BY39" s="357"/>
      <c r="BZ39" s="357"/>
      <c r="CA39" s="357"/>
      <c r="CB39" s="357"/>
      <c r="CC39" s="357"/>
      <c r="CD39" s="357"/>
      <c r="CE39" s="357"/>
      <c r="CF39" s="357"/>
      <c r="CG39" s="357"/>
      <c r="CH39" s="357"/>
      <c r="CI39" s="331"/>
      <c r="CJ39" s="331"/>
      <c r="CK39" s="331"/>
      <c r="CL39" s="331"/>
      <c r="CM39" s="331"/>
      <c r="CN39" s="331"/>
      <c r="CO39" s="331"/>
      <c r="CP39" s="331"/>
      <c r="CQ39" s="331">
        <f t="shared" si="42"/>
        <v>0</v>
      </c>
      <c r="CR39" s="331"/>
      <c r="CS39" s="331"/>
      <c r="CT39" s="331"/>
      <c r="CU39" s="331"/>
      <c r="CV39" s="331"/>
      <c r="CW39" s="331"/>
      <c r="CX39" s="331"/>
      <c r="CY39" s="331"/>
      <c r="CZ39" s="331"/>
      <c r="DA39" s="331"/>
      <c r="DB39" s="331"/>
      <c r="DC39" s="331"/>
      <c r="DD39" s="331">
        <f t="shared" si="27"/>
        <v>0</v>
      </c>
      <c r="DE39" s="1"/>
      <c r="DF39" s="1"/>
      <c r="DG39" s="1"/>
      <c r="DH39" s="1"/>
      <c r="DI39" s="1"/>
      <c r="DJ39" s="1"/>
      <c r="DK39" s="1"/>
      <c r="DL39" s="1"/>
      <c r="DM39" s="1"/>
      <c r="DN39" s="1"/>
      <c r="DO39" s="1"/>
      <c r="DP39" s="1"/>
      <c r="DQ39" s="1"/>
      <c r="DR39" s="1"/>
      <c r="DS39" s="1"/>
      <c r="DT39" s="1"/>
    </row>
    <row r="40" spans="1:124" ht="48" x14ac:dyDescent="0.2">
      <c r="A40" s="331" t="s">
        <v>2047</v>
      </c>
      <c r="B40" s="331" t="s">
        <v>107</v>
      </c>
      <c r="C40" s="824"/>
      <c r="D40" s="331" t="s">
        <v>1933</v>
      </c>
      <c r="E40" s="331"/>
      <c r="F40" s="331" t="s">
        <v>1367</v>
      </c>
      <c r="G40" s="331" t="s">
        <v>49</v>
      </c>
      <c r="H40" s="331" t="s">
        <v>1306</v>
      </c>
      <c r="I40" s="331" t="s">
        <v>316</v>
      </c>
      <c r="J40" s="402">
        <v>44760</v>
      </c>
      <c r="K40" s="335" t="s">
        <v>1381</v>
      </c>
      <c r="L40" s="457" t="s">
        <v>493</v>
      </c>
      <c r="M40" s="350"/>
      <c r="N40" s="328">
        <f t="shared" si="32"/>
        <v>0</v>
      </c>
      <c r="O40" s="328">
        <f t="shared" si="33"/>
        <v>0</v>
      </c>
      <c r="P40" s="328">
        <f t="shared" si="34"/>
        <v>0</v>
      </c>
      <c r="Q40" s="328">
        <f t="shared" si="35"/>
        <v>0</v>
      </c>
      <c r="R40" s="328">
        <f t="shared" si="43"/>
        <v>0</v>
      </c>
      <c r="S40" s="328">
        <f t="shared" si="36"/>
        <v>0</v>
      </c>
      <c r="T40" s="328">
        <f t="shared" si="37"/>
        <v>0</v>
      </c>
      <c r="U40" s="328">
        <f t="shared" si="38"/>
        <v>0</v>
      </c>
      <c r="V40" s="328">
        <f t="shared" si="39"/>
        <v>0</v>
      </c>
      <c r="W40" s="328">
        <f t="shared" si="44"/>
        <v>0</v>
      </c>
      <c r="X40" s="355">
        <f t="shared" si="40"/>
        <v>0</v>
      </c>
      <c r="Y40" s="895" t="e">
        <f t="shared" si="28"/>
        <v>#VALUE!</v>
      </c>
      <c r="Z40" s="328">
        <f t="shared" si="29"/>
        <v>0</v>
      </c>
      <c r="AA40" s="328">
        <f t="shared" si="30"/>
        <v>0</v>
      </c>
      <c r="AB40" s="328">
        <f t="shared" si="31"/>
        <v>0</v>
      </c>
      <c r="AC40" s="895" t="e">
        <f t="shared" si="41"/>
        <v>#VALUE!</v>
      </c>
      <c r="AD40" s="895"/>
      <c r="AE40" s="895"/>
      <c r="AF40" s="895"/>
      <c r="AG40" s="895"/>
      <c r="AH40" s="896">
        <v>0</v>
      </c>
      <c r="AI40" s="334">
        <v>36</v>
      </c>
      <c r="AJ40" s="334" t="s">
        <v>1304</v>
      </c>
      <c r="AK40" s="334">
        <v>0</v>
      </c>
      <c r="AL40" s="334">
        <v>0</v>
      </c>
      <c r="AM40" s="334" t="s">
        <v>53</v>
      </c>
      <c r="AN40" s="334" t="s">
        <v>53</v>
      </c>
      <c r="AO40" s="334" t="s">
        <v>53</v>
      </c>
      <c r="AP40" s="334" t="s">
        <v>54</v>
      </c>
      <c r="AQ40" s="382" t="s">
        <v>70</v>
      </c>
      <c r="AR40" s="335"/>
      <c r="AS40" s="335"/>
      <c r="AT40" s="335"/>
      <c r="AU40" s="331"/>
      <c r="AV40" s="357"/>
      <c r="AW40" s="357"/>
      <c r="AX40" s="357"/>
      <c r="AY40" s="357"/>
      <c r="AZ40" s="357"/>
      <c r="BA40" s="357"/>
      <c r="BB40" s="357"/>
      <c r="BC40" s="357"/>
      <c r="BD40" s="357"/>
      <c r="BE40" s="357"/>
      <c r="BF40" s="357"/>
      <c r="BG40" s="357"/>
      <c r="BH40" s="358"/>
      <c r="BI40" s="357"/>
      <c r="BJ40" s="357"/>
      <c r="BK40" s="357"/>
      <c r="BL40" s="357"/>
      <c r="BM40" s="357"/>
      <c r="BN40" s="357"/>
      <c r="BO40" s="357"/>
      <c r="BP40" s="357"/>
      <c r="BQ40" s="357"/>
      <c r="BR40" s="357"/>
      <c r="BS40" s="357"/>
      <c r="BT40" s="357"/>
      <c r="BU40" s="357"/>
      <c r="BV40" s="357"/>
      <c r="BW40" s="357"/>
      <c r="BX40" s="357"/>
      <c r="BY40" s="357"/>
      <c r="BZ40" s="357"/>
      <c r="CA40" s="357"/>
      <c r="CB40" s="357"/>
      <c r="CC40" s="357"/>
      <c r="CD40" s="357"/>
      <c r="CE40" s="357"/>
      <c r="CF40" s="357"/>
      <c r="CG40" s="357"/>
      <c r="CH40" s="357"/>
      <c r="CI40" s="331"/>
      <c r="CJ40" s="331"/>
      <c r="CK40" s="331"/>
      <c r="CL40" s="331"/>
      <c r="CM40" s="331"/>
      <c r="CN40" s="331"/>
      <c r="CO40" s="331"/>
      <c r="CP40" s="331"/>
      <c r="CQ40" s="331">
        <f t="shared" si="42"/>
        <v>0</v>
      </c>
      <c r="CR40" s="331"/>
      <c r="CS40" s="331"/>
      <c r="CT40" s="331"/>
      <c r="CU40" s="331"/>
      <c r="CV40" s="331"/>
      <c r="CW40" s="331"/>
      <c r="CX40" s="331"/>
      <c r="CY40" s="331"/>
      <c r="CZ40" s="331"/>
      <c r="DA40" s="331"/>
      <c r="DB40" s="331"/>
      <c r="DC40" s="331"/>
      <c r="DD40" s="331">
        <f t="shared" si="27"/>
        <v>0</v>
      </c>
      <c r="DE40" s="1"/>
      <c r="DF40" s="1"/>
      <c r="DG40" s="1"/>
      <c r="DH40" s="1"/>
      <c r="DI40" s="1"/>
      <c r="DJ40" s="1"/>
      <c r="DK40" s="1"/>
      <c r="DL40" s="1"/>
      <c r="DM40" s="1"/>
      <c r="DN40" s="1"/>
      <c r="DO40" s="1"/>
      <c r="DP40" s="1"/>
      <c r="DQ40" s="1"/>
      <c r="DR40" s="1"/>
      <c r="DS40" s="1"/>
      <c r="DT40" s="1"/>
    </row>
    <row r="41" spans="1:124" ht="48" x14ac:dyDescent="0.2">
      <c r="A41" s="331" t="s">
        <v>2048</v>
      </c>
      <c r="B41" s="331" t="s">
        <v>107</v>
      </c>
      <c r="C41" s="824"/>
      <c r="D41" s="331" t="s">
        <v>1337</v>
      </c>
      <c r="E41" s="331"/>
      <c r="F41" s="331" t="s">
        <v>1368</v>
      </c>
      <c r="G41" s="331" t="s">
        <v>49</v>
      </c>
      <c r="H41" s="331" t="s">
        <v>1306</v>
      </c>
      <c r="I41" s="331" t="s">
        <v>316</v>
      </c>
      <c r="J41" s="402">
        <v>44761</v>
      </c>
      <c r="K41" s="335" t="s">
        <v>1382</v>
      </c>
      <c r="L41" s="457" t="s">
        <v>493</v>
      </c>
      <c r="M41" s="350"/>
      <c r="N41" s="328">
        <f t="shared" si="32"/>
        <v>0</v>
      </c>
      <c r="O41" s="328">
        <f t="shared" si="33"/>
        <v>0</v>
      </c>
      <c r="P41" s="328">
        <f t="shared" si="34"/>
        <v>0</v>
      </c>
      <c r="Q41" s="328">
        <f t="shared" si="35"/>
        <v>0</v>
      </c>
      <c r="R41" s="328">
        <f t="shared" si="43"/>
        <v>0</v>
      </c>
      <c r="S41" s="328">
        <f t="shared" si="36"/>
        <v>0</v>
      </c>
      <c r="T41" s="328">
        <f t="shared" si="37"/>
        <v>0</v>
      </c>
      <c r="U41" s="328">
        <f t="shared" si="38"/>
        <v>0</v>
      </c>
      <c r="V41" s="328">
        <f t="shared" si="39"/>
        <v>0</v>
      </c>
      <c r="W41" s="328">
        <f t="shared" si="44"/>
        <v>0</v>
      </c>
      <c r="X41" s="355">
        <f t="shared" si="40"/>
        <v>0</v>
      </c>
      <c r="Y41" s="895" t="e">
        <f t="shared" si="28"/>
        <v>#VALUE!</v>
      </c>
      <c r="Z41" s="328">
        <f t="shared" si="29"/>
        <v>0</v>
      </c>
      <c r="AA41" s="328">
        <f t="shared" si="30"/>
        <v>0</v>
      </c>
      <c r="AB41" s="328">
        <f t="shared" si="31"/>
        <v>0</v>
      </c>
      <c r="AC41" s="895" t="e">
        <f t="shared" si="41"/>
        <v>#VALUE!</v>
      </c>
      <c r="AD41" s="895"/>
      <c r="AE41" s="895"/>
      <c r="AF41" s="895"/>
      <c r="AG41" s="895"/>
      <c r="AH41" s="896">
        <v>0</v>
      </c>
      <c r="AI41" s="334">
        <v>36</v>
      </c>
      <c r="AJ41" s="334" t="s">
        <v>1304</v>
      </c>
      <c r="AK41" s="334">
        <v>0</v>
      </c>
      <c r="AL41" s="334">
        <v>0</v>
      </c>
      <c r="AM41" s="334" t="s">
        <v>53</v>
      </c>
      <c r="AN41" s="334" t="s">
        <v>53</v>
      </c>
      <c r="AO41" s="334" t="s">
        <v>53</v>
      </c>
      <c r="AP41" s="334" t="s">
        <v>54</v>
      </c>
      <c r="AQ41" s="382" t="s">
        <v>70</v>
      </c>
      <c r="AR41" s="335"/>
      <c r="AS41" s="335"/>
      <c r="AT41" s="335"/>
      <c r="AU41" s="331"/>
      <c r="AV41" s="357"/>
      <c r="AW41" s="357"/>
      <c r="AX41" s="357"/>
      <c r="AY41" s="357"/>
      <c r="AZ41" s="357"/>
      <c r="BA41" s="357"/>
      <c r="BB41" s="357"/>
      <c r="BC41" s="357"/>
      <c r="BD41" s="357"/>
      <c r="BE41" s="357"/>
      <c r="BF41" s="357"/>
      <c r="BG41" s="357"/>
      <c r="BH41" s="358"/>
      <c r="BI41" s="357"/>
      <c r="BJ41" s="357"/>
      <c r="BK41" s="357"/>
      <c r="BL41" s="357"/>
      <c r="BM41" s="357"/>
      <c r="BN41" s="357"/>
      <c r="BO41" s="357"/>
      <c r="BP41" s="357"/>
      <c r="BQ41" s="357"/>
      <c r="BR41" s="357"/>
      <c r="BS41" s="357"/>
      <c r="BT41" s="357"/>
      <c r="BU41" s="357"/>
      <c r="BV41" s="357"/>
      <c r="BW41" s="357"/>
      <c r="BX41" s="357"/>
      <c r="BY41" s="357"/>
      <c r="BZ41" s="357"/>
      <c r="CA41" s="357"/>
      <c r="CB41" s="357"/>
      <c r="CC41" s="357"/>
      <c r="CD41" s="357"/>
      <c r="CE41" s="357"/>
      <c r="CF41" s="357"/>
      <c r="CG41" s="357"/>
      <c r="CH41" s="357"/>
      <c r="CI41" s="331"/>
      <c r="CJ41" s="331"/>
      <c r="CK41" s="331"/>
      <c r="CL41" s="331"/>
      <c r="CM41" s="331"/>
      <c r="CN41" s="331"/>
      <c r="CO41" s="331"/>
      <c r="CP41" s="331"/>
      <c r="CQ41" s="331">
        <f t="shared" si="42"/>
        <v>0</v>
      </c>
      <c r="CR41" s="331"/>
      <c r="CS41" s="331"/>
      <c r="CT41" s="331"/>
      <c r="CU41" s="331"/>
      <c r="CV41" s="331"/>
      <c r="CW41" s="331"/>
      <c r="CX41" s="331"/>
      <c r="CY41" s="331"/>
      <c r="CZ41" s="331"/>
      <c r="DA41" s="331"/>
      <c r="DB41" s="331"/>
      <c r="DC41" s="331"/>
      <c r="DD41" s="331">
        <f t="shared" si="27"/>
        <v>0</v>
      </c>
      <c r="DE41" s="1"/>
      <c r="DF41" s="1"/>
      <c r="DG41" s="1"/>
      <c r="DH41" s="1"/>
      <c r="DI41" s="1"/>
      <c r="DJ41" s="1"/>
      <c r="DK41" s="1"/>
      <c r="DL41" s="1"/>
      <c r="DM41" s="1"/>
      <c r="DN41" s="1"/>
      <c r="DO41" s="1"/>
      <c r="DP41" s="1"/>
      <c r="DQ41" s="1"/>
      <c r="DR41" s="1"/>
      <c r="DS41" s="1"/>
      <c r="DT41" s="1"/>
    </row>
    <row r="42" spans="1:124" ht="48" x14ac:dyDescent="0.2">
      <c r="A42" s="331" t="s">
        <v>2049</v>
      </c>
      <c r="B42" s="331" t="s">
        <v>107</v>
      </c>
      <c r="C42" s="824"/>
      <c r="D42" s="331" t="s">
        <v>1338</v>
      </c>
      <c r="E42" s="331"/>
      <c r="F42" s="331" t="s">
        <v>1369</v>
      </c>
      <c r="G42" s="331" t="s">
        <v>49</v>
      </c>
      <c r="H42" s="331" t="s">
        <v>1306</v>
      </c>
      <c r="I42" s="331" t="s">
        <v>316</v>
      </c>
      <c r="J42" s="402">
        <v>44762</v>
      </c>
      <c r="K42" s="335" t="s">
        <v>1383</v>
      </c>
      <c r="L42" s="457" t="s">
        <v>493</v>
      </c>
      <c r="M42" s="350"/>
      <c r="N42" s="328">
        <f t="shared" si="32"/>
        <v>0</v>
      </c>
      <c r="O42" s="328">
        <f t="shared" si="33"/>
        <v>0</v>
      </c>
      <c r="P42" s="328">
        <f t="shared" si="34"/>
        <v>0</v>
      </c>
      <c r="Q42" s="328">
        <f t="shared" si="35"/>
        <v>0</v>
      </c>
      <c r="R42" s="328">
        <f t="shared" si="43"/>
        <v>0</v>
      </c>
      <c r="S42" s="328">
        <f t="shared" si="36"/>
        <v>0</v>
      </c>
      <c r="T42" s="328">
        <f t="shared" si="37"/>
        <v>0</v>
      </c>
      <c r="U42" s="328">
        <f t="shared" si="38"/>
        <v>0</v>
      </c>
      <c r="V42" s="328">
        <f t="shared" si="39"/>
        <v>0</v>
      </c>
      <c r="W42" s="328">
        <f t="shared" si="44"/>
        <v>0</v>
      </c>
      <c r="X42" s="355">
        <f t="shared" si="40"/>
        <v>0</v>
      </c>
      <c r="Y42" s="895" t="e">
        <f t="shared" si="28"/>
        <v>#VALUE!</v>
      </c>
      <c r="Z42" s="328">
        <f t="shared" si="29"/>
        <v>0</v>
      </c>
      <c r="AA42" s="328">
        <f t="shared" si="30"/>
        <v>0</v>
      </c>
      <c r="AB42" s="328">
        <f t="shared" si="31"/>
        <v>0</v>
      </c>
      <c r="AC42" s="895" t="e">
        <f t="shared" si="41"/>
        <v>#VALUE!</v>
      </c>
      <c r="AD42" s="895"/>
      <c r="AE42" s="895"/>
      <c r="AF42" s="895"/>
      <c r="AG42" s="895"/>
      <c r="AH42" s="896">
        <v>0</v>
      </c>
      <c r="AI42" s="334">
        <v>36</v>
      </c>
      <c r="AJ42" s="334" t="s">
        <v>1304</v>
      </c>
      <c r="AK42" s="334">
        <v>0</v>
      </c>
      <c r="AL42" s="334">
        <v>0</v>
      </c>
      <c r="AM42" s="334" t="s">
        <v>53</v>
      </c>
      <c r="AN42" s="334" t="s">
        <v>53</v>
      </c>
      <c r="AO42" s="334" t="s">
        <v>53</v>
      </c>
      <c r="AP42" s="334" t="s">
        <v>54</v>
      </c>
      <c r="AQ42" s="382" t="s">
        <v>70</v>
      </c>
      <c r="AR42" s="335"/>
      <c r="AS42" s="335"/>
      <c r="AT42" s="335"/>
      <c r="AU42" s="331"/>
      <c r="AV42" s="357"/>
      <c r="AW42" s="357"/>
      <c r="AX42" s="357"/>
      <c r="AY42" s="357"/>
      <c r="AZ42" s="357"/>
      <c r="BA42" s="357"/>
      <c r="BB42" s="357"/>
      <c r="BC42" s="357"/>
      <c r="BD42" s="357"/>
      <c r="BE42" s="357"/>
      <c r="BF42" s="357"/>
      <c r="BG42" s="357"/>
      <c r="BH42" s="358"/>
      <c r="BI42" s="357"/>
      <c r="BJ42" s="357"/>
      <c r="BK42" s="357"/>
      <c r="BL42" s="357"/>
      <c r="BM42" s="357"/>
      <c r="BN42" s="357"/>
      <c r="BO42" s="357"/>
      <c r="BP42" s="357"/>
      <c r="BQ42" s="357"/>
      <c r="BR42" s="357"/>
      <c r="BS42" s="357"/>
      <c r="BT42" s="357"/>
      <c r="BU42" s="357"/>
      <c r="BV42" s="357"/>
      <c r="BW42" s="357"/>
      <c r="BX42" s="357"/>
      <c r="BY42" s="357"/>
      <c r="BZ42" s="357"/>
      <c r="CA42" s="357"/>
      <c r="CB42" s="357"/>
      <c r="CC42" s="357"/>
      <c r="CD42" s="357"/>
      <c r="CE42" s="357"/>
      <c r="CF42" s="357"/>
      <c r="CG42" s="357"/>
      <c r="CH42" s="357"/>
      <c r="CI42" s="331"/>
      <c r="CJ42" s="331"/>
      <c r="CK42" s="331"/>
      <c r="CL42" s="331"/>
      <c r="CM42" s="331"/>
      <c r="CN42" s="331"/>
      <c r="CO42" s="331"/>
      <c r="CP42" s="331"/>
      <c r="CQ42" s="331">
        <f t="shared" si="42"/>
        <v>0</v>
      </c>
      <c r="CR42" s="331"/>
      <c r="CS42" s="331"/>
      <c r="CT42" s="331"/>
      <c r="CU42" s="331"/>
      <c r="CV42" s="331"/>
      <c r="CW42" s="331"/>
      <c r="CX42" s="331"/>
      <c r="CY42" s="331"/>
      <c r="CZ42" s="331"/>
      <c r="DA42" s="331"/>
      <c r="DB42" s="331"/>
      <c r="DC42" s="331"/>
      <c r="DD42" s="331">
        <f t="shared" si="27"/>
        <v>0</v>
      </c>
      <c r="DE42" s="1"/>
      <c r="DF42" s="1"/>
      <c r="DG42" s="1"/>
      <c r="DH42" s="1"/>
      <c r="DI42" s="1"/>
      <c r="DJ42" s="1"/>
      <c r="DK42" s="1"/>
      <c r="DL42" s="1"/>
      <c r="DM42" s="1"/>
      <c r="DN42" s="1"/>
      <c r="DO42" s="1"/>
      <c r="DP42" s="1"/>
      <c r="DQ42" s="1"/>
      <c r="DR42" s="1"/>
      <c r="DS42" s="1"/>
      <c r="DT42" s="1"/>
    </row>
    <row r="43" spans="1:124" ht="48" x14ac:dyDescent="0.2">
      <c r="A43" s="44" t="s">
        <v>2050</v>
      </c>
      <c r="B43" s="331" t="s">
        <v>107</v>
      </c>
      <c r="C43" s="824"/>
      <c r="D43" s="331" t="s">
        <v>1339</v>
      </c>
      <c r="E43" s="331"/>
      <c r="F43" s="331" t="s">
        <v>1370</v>
      </c>
      <c r="G43" s="331" t="s">
        <v>49</v>
      </c>
      <c r="H43" s="331" t="s">
        <v>1306</v>
      </c>
      <c r="I43" s="331" t="s">
        <v>316</v>
      </c>
      <c r="J43" s="402">
        <v>44763</v>
      </c>
      <c r="K43" s="335" t="s">
        <v>1384</v>
      </c>
      <c r="L43" s="457" t="s">
        <v>493</v>
      </c>
      <c r="M43" s="350"/>
      <c r="N43" s="328">
        <f t="shared" si="32"/>
        <v>0</v>
      </c>
      <c r="O43" s="328">
        <f t="shared" si="33"/>
        <v>0</v>
      </c>
      <c r="P43" s="328">
        <f t="shared" si="34"/>
        <v>0</v>
      </c>
      <c r="Q43" s="328">
        <f t="shared" si="35"/>
        <v>0</v>
      </c>
      <c r="R43" s="328">
        <f t="shared" si="43"/>
        <v>0</v>
      </c>
      <c r="S43" s="328">
        <f t="shared" si="36"/>
        <v>0</v>
      </c>
      <c r="T43" s="328">
        <f t="shared" si="37"/>
        <v>0</v>
      </c>
      <c r="U43" s="328">
        <f t="shared" si="38"/>
        <v>0</v>
      </c>
      <c r="V43" s="328">
        <f t="shared" si="39"/>
        <v>0</v>
      </c>
      <c r="W43" s="328">
        <f t="shared" si="44"/>
        <v>0</v>
      </c>
      <c r="X43" s="355">
        <f t="shared" si="40"/>
        <v>0</v>
      </c>
      <c r="Y43" s="895" t="e">
        <f t="shared" si="28"/>
        <v>#VALUE!</v>
      </c>
      <c r="Z43" s="328">
        <f t="shared" si="29"/>
        <v>0</v>
      </c>
      <c r="AA43" s="328">
        <f t="shared" si="30"/>
        <v>0</v>
      </c>
      <c r="AB43" s="328">
        <f t="shared" si="31"/>
        <v>0</v>
      </c>
      <c r="AC43" s="895" t="e">
        <f t="shared" si="41"/>
        <v>#VALUE!</v>
      </c>
      <c r="AD43" s="895"/>
      <c r="AE43" s="895"/>
      <c r="AF43" s="895"/>
      <c r="AG43" s="895"/>
      <c r="AH43" s="896">
        <v>0</v>
      </c>
      <c r="AI43" s="334">
        <v>36</v>
      </c>
      <c r="AJ43" s="334" t="s">
        <v>1304</v>
      </c>
      <c r="AK43" s="334">
        <v>0</v>
      </c>
      <c r="AL43" s="334">
        <v>0</v>
      </c>
      <c r="AM43" s="334" t="s">
        <v>53</v>
      </c>
      <c r="AN43" s="334" t="s">
        <v>53</v>
      </c>
      <c r="AO43" s="334" t="s">
        <v>53</v>
      </c>
      <c r="AP43" s="334" t="s">
        <v>54</v>
      </c>
      <c r="AQ43" s="382" t="s">
        <v>70</v>
      </c>
      <c r="AR43" s="335"/>
      <c r="AS43" s="335"/>
      <c r="AT43" s="335"/>
      <c r="AU43" s="331"/>
      <c r="AV43" s="357"/>
      <c r="AW43" s="357"/>
      <c r="AX43" s="357"/>
      <c r="AY43" s="357"/>
      <c r="AZ43" s="357"/>
      <c r="BA43" s="357"/>
      <c r="BB43" s="357"/>
      <c r="BC43" s="357"/>
      <c r="BD43" s="357"/>
      <c r="BE43" s="357"/>
      <c r="BF43" s="357"/>
      <c r="BG43" s="357"/>
      <c r="BH43" s="358"/>
      <c r="BI43" s="357"/>
      <c r="BJ43" s="357"/>
      <c r="BK43" s="357"/>
      <c r="BL43" s="357"/>
      <c r="BM43" s="357"/>
      <c r="BN43" s="357"/>
      <c r="BO43" s="357"/>
      <c r="BP43" s="357"/>
      <c r="BQ43" s="357"/>
      <c r="BR43" s="357"/>
      <c r="BS43" s="357"/>
      <c r="BT43" s="357"/>
      <c r="BU43" s="357"/>
      <c r="BV43" s="357"/>
      <c r="BW43" s="357"/>
      <c r="BX43" s="357"/>
      <c r="BY43" s="357"/>
      <c r="BZ43" s="357"/>
      <c r="CA43" s="357"/>
      <c r="CB43" s="357"/>
      <c r="CC43" s="357"/>
      <c r="CD43" s="357"/>
      <c r="CE43" s="357"/>
      <c r="CF43" s="357"/>
      <c r="CG43" s="357"/>
      <c r="CH43" s="357"/>
      <c r="CI43" s="331"/>
      <c r="CJ43" s="331"/>
      <c r="CK43" s="331"/>
      <c r="CL43" s="331"/>
      <c r="CM43" s="331"/>
      <c r="CN43" s="331"/>
      <c r="CO43" s="331"/>
      <c r="CP43" s="331"/>
      <c r="CQ43" s="331">
        <f t="shared" si="42"/>
        <v>0</v>
      </c>
      <c r="CR43" s="331"/>
      <c r="CS43" s="331"/>
      <c r="CT43" s="331"/>
      <c r="CU43" s="331"/>
      <c r="CV43" s="331"/>
      <c r="CW43" s="331"/>
      <c r="CX43" s="331"/>
      <c r="CY43" s="331"/>
      <c r="CZ43" s="331"/>
      <c r="DA43" s="331"/>
      <c r="DB43" s="331"/>
      <c r="DC43" s="331"/>
      <c r="DD43" s="331">
        <f t="shared" si="27"/>
        <v>0</v>
      </c>
      <c r="DE43" s="1"/>
      <c r="DF43" s="1"/>
      <c r="DG43" s="1"/>
      <c r="DH43" s="1"/>
      <c r="DI43" s="1"/>
      <c r="DJ43" s="1"/>
      <c r="DK43" s="1"/>
      <c r="DL43" s="1"/>
      <c r="DM43" s="1"/>
      <c r="DN43" s="1"/>
      <c r="DO43" s="1"/>
      <c r="DP43" s="1"/>
      <c r="DQ43" s="1"/>
      <c r="DR43" s="1"/>
      <c r="DS43" s="1"/>
      <c r="DT43" s="1"/>
    </row>
    <row r="44" spans="1:124" ht="48" x14ac:dyDescent="0.2">
      <c r="A44" s="331" t="s">
        <v>2051</v>
      </c>
      <c r="B44" s="331" t="s">
        <v>107</v>
      </c>
      <c r="C44" s="824"/>
      <c r="D44" s="44" t="s">
        <v>1911</v>
      </c>
      <c r="E44" s="331"/>
      <c r="F44" s="331" t="s">
        <v>1371</v>
      </c>
      <c r="G44" s="331" t="s">
        <v>49</v>
      </c>
      <c r="H44" s="331" t="s">
        <v>1306</v>
      </c>
      <c r="I44" s="331" t="s">
        <v>316</v>
      </c>
      <c r="J44" s="402">
        <v>44764</v>
      </c>
      <c r="K44" s="335" t="s">
        <v>1385</v>
      </c>
      <c r="L44" s="457" t="s">
        <v>493</v>
      </c>
      <c r="M44" s="350"/>
      <c r="N44" s="328">
        <f t="shared" si="32"/>
        <v>0</v>
      </c>
      <c r="O44" s="328">
        <f t="shared" si="33"/>
        <v>0</v>
      </c>
      <c r="P44" s="328">
        <f t="shared" si="34"/>
        <v>0</v>
      </c>
      <c r="Q44" s="328">
        <f t="shared" si="35"/>
        <v>0</v>
      </c>
      <c r="R44" s="328">
        <f t="shared" si="43"/>
        <v>0</v>
      </c>
      <c r="S44" s="328">
        <f t="shared" si="36"/>
        <v>0</v>
      </c>
      <c r="T44" s="328">
        <f t="shared" si="37"/>
        <v>0</v>
      </c>
      <c r="U44" s="328">
        <f t="shared" si="38"/>
        <v>0</v>
      </c>
      <c r="V44" s="328">
        <f t="shared" si="39"/>
        <v>0</v>
      </c>
      <c r="W44" s="328">
        <f t="shared" si="44"/>
        <v>0</v>
      </c>
      <c r="X44" s="355">
        <f t="shared" si="40"/>
        <v>0</v>
      </c>
      <c r="Y44" s="895" t="e">
        <f t="shared" si="28"/>
        <v>#VALUE!</v>
      </c>
      <c r="Z44" s="328">
        <f t="shared" si="29"/>
        <v>0</v>
      </c>
      <c r="AA44" s="328">
        <f t="shared" si="30"/>
        <v>0</v>
      </c>
      <c r="AB44" s="328">
        <f t="shared" si="31"/>
        <v>0</v>
      </c>
      <c r="AC44" s="895" t="e">
        <f t="shared" si="41"/>
        <v>#VALUE!</v>
      </c>
      <c r="AD44" s="895"/>
      <c r="AE44" s="895"/>
      <c r="AF44" s="895"/>
      <c r="AG44" s="895"/>
      <c r="AH44" s="896">
        <v>0</v>
      </c>
      <c r="AI44" s="334">
        <v>36</v>
      </c>
      <c r="AJ44" s="334" t="s">
        <v>1304</v>
      </c>
      <c r="AK44" s="334">
        <v>0</v>
      </c>
      <c r="AL44" s="334">
        <v>0</v>
      </c>
      <c r="AM44" s="334" t="s">
        <v>53</v>
      </c>
      <c r="AN44" s="334" t="s">
        <v>53</v>
      </c>
      <c r="AO44" s="334" t="s">
        <v>53</v>
      </c>
      <c r="AP44" s="334" t="s">
        <v>54</v>
      </c>
      <c r="AQ44" s="382" t="s">
        <v>70</v>
      </c>
      <c r="AR44" s="335"/>
      <c r="AS44" s="335"/>
      <c r="AT44" s="335"/>
      <c r="AU44" s="331"/>
      <c r="AV44" s="357"/>
      <c r="AW44" s="357"/>
      <c r="AX44" s="357"/>
      <c r="AY44" s="357"/>
      <c r="AZ44" s="357"/>
      <c r="BA44" s="357"/>
      <c r="BB44" s="357"/>
      <c r="BC44" s="357"/>
      <c r="BD44" s="357"/>
      <c r="BE44" s="357"/>
      <c r="BF44" s="357"/>
      <c r="BG44" s="357"/>
      <c r="BH44" s="358"/>
      <c r="BI44" s="357"/>
      <c r="BJ44" s="357"/>
      <c r="BK44" s="357"/>
      <c r="BL44" s="357"/>
      <c r="BM44" s="357"/>
      <c r="BN44" s="357"/>
      <c r="BO44" s="357"/>
      <c r="BP44" s="357"/>
      <c r="BQ44" s="357"/>
      <c r="BR44" s="357"/>
      <c r="BS44" s="357"/>
      <c r="BT44" s="357"/>
      <c r="BU44" s="357"/>
      <c r="BV44" s="357"/>
      <c r="BW44" s="357"/>
      <c r="BX44" s="357"/>
      <c r="BY44" s="357"/>
      <c r="BZ44" s="357"/>
      <c r="CA44" s="357"/>
      <c r="CB44" s="357"/>
      <c r="CC44" s="357"/>
      <c r="CD44" s="357"/>
      <c r="CE44" s="357"/>
      <c r="CF44" s="357"/>
      <c r="CG44" s="357"/>
      <c r="CH44" s="357"/>
      <c r="CI44" s="331"/>
      <c r="CJ44" s="331"/>
      <c r="CK44" s="331"/>
      <c r="CL44" s="331"/>
      <c r="CM44" s="331"/>
      <c r="CN44" s="331"/>
      <c r="CO44" s="331"/>
      <c r="CP44" s="331"/>
      <c r="CQ44" s="331">
        <f t="shared" si="42"/>
        <v>0</v>
      </c>
      <c r="CR44" s="331"/>
      <c r="CS44" s="331"/>
      <c r="CT44" s="331"/>
      <c r="CU44" s="331"/>
      <c r="CV44" s="331"/>
      <c r="CW44" s="331"/>
      <c r="CX44" s="331"/>
      <c r="CY44" s="331"/>
      <c r="CZ44" s="331"/>
      <c r="DA44" s="331"/>
      <c r="DB44" s="331"/>
      <c r="DC44" s="331"/>
      <c r="DD44" s="331">
        <f t="shared" si="27"/>
        <v>0</v>
      </c>
      <c r="DE44" s="1"/>
      <c r="DF44" s="1"/>
      <c r="DG44" s="1"/>
      <c r="DH44" s="1"/>
      <c r="DI44" s="1"/>
      <c r="DJ44" s="1"/>
      <c r="DK44" s="1"/>
      <c r="DL44" s="1"/>
      <c r="DM44" s="1"/>
      <c r="DN44" s="1"/>
      <c r="DO44" s="1"/>
      <c r="DP44" s="1"/>
      <c r="DQ44" s="1"/>
      <c r="DR44" s="1"/>
      <c r="DS44" s="1"/>
      <c r="DT44" s="1"/>
    </row>
    <row r="45" spans="1:124" ht="48" x14ac:dyDescent="0.2">
      <c r="A45" s="331" t="s">
        <v>2052</v>
      </c>
      <c r="B45" s="331" t="s">
        <v>107</v>
      </c>
      <c r="C45" s="824"/>
      <c r="D45" s="44" t="s">
        <v>2059</v>
      </c>
      <c r="E45" s="331"/>
      <c r="F45" s="331" t="s">
        <v>1372</v>
      </c>
      <c r="G45" s="331" t="s">
        <v>49</v>
      </c>
      <c r="H45" s="331" t="s">
        <v>1306</v>
      </c>
      <c r="I45" s="331" t="s">
        <v>316</v>
      </c>
      <c r="J45" s="402">
        <v>44765</v>
      </c>
      <c r="K45" s="335" t="s">
        <v>1386</v>
      </c>
      <c r="L45" s="457" t="s">
        <v>493</v>
      </c>
      <c r="M45" s="350"/>
      <c r="N45" s="328">
        <f t="shared" si="32"/>
        <v>0</v>
      </c>
      <c r="O45" s="328">
        <f t="shared" si="33"/>
        <v>0</v>
      </c>
      <c r="P45" s="328">
        <f t="shared" si="34"/>
        <v>0</v>
      </c>
      <c r="Q45" s="328">
        <f t="shared" si="35"/>
        <v>0</v>
      </c>
      <c r="R45" s="328">
        <f t="shared" si="43"/>
        <v>0</v>
      </c>
      <c r="S45" s="328">
        <f t="shared" si="36"/>
        <v>0</v>
      </c>
      <c r="T45" s="328">
        <f t="shared" si="37"/>
        <v>0</v>
      </c>
      <c r="U45" s="328">
        <f t="shared" si="38"/>
        <v>0</v>
      </c>
      <c r="V45" s="328">
        <f t="shared" si="39"/>
        <v>0</v>
      </c>
      <c r="W45" s="328">
        <f t="shared" si="44"/>
        <v>0</v>
      </c>
      <c r="X45" s="355">
        <f t="shared" si="40"/>
        <v>0</v>
      </c>
      <c r="Y45" s="895" t="e">
        <f t="shared" si="28"/>
        <v>#VALUE!</v>
      </c>
      <c r="Z45" s="328">
        <f t="shared" si="29"/>
        <v>0</v>
      </c>
      <c r="AA45" s="328">
        <f t="shared" si="30"/>
        <v>0</v>
      </c>
      <c r="AB45" s="328">
        <f t="shared" si="31"/>
        <v>0</v>
      </c>
      <c r="AC45" s="895" t="e">
        <f t="shared" si="41"/>
        <v>#VALUE!</v>
      </c>
      <c r="AD45" s="895"/>
      <c r="AE45" s="895"/>
      <c r="AF45" s="895"/>
      <c r="AG45" s="895"/>
      <c r="AH45" s="896">
        <v>0</v>
      </c>
      <c r="AI45" s="334">
        <v>36</v>
      </c>
      <c r="AJ45" s="334" t="s">
        <v>1304</v>
      </c>
      <c r="AK45" s="334">
        <v>0</v>
      </c>
      <c r="AL45" s="334">
        <v>0</v>
      </c>
      <c r="AM45" s="334" t="s">
        <v>53</v>
      </c>
      <c r="AN45" s="334" t="s">
        <v>53</v>
      </c>
      <c r="AO45" s="334" t="s">
        <v>53</v>
      </c>
      <c r="AP45" s="334" t="s">
        <v>54</v>
      </c>
      <c r="AQ45" s="382" t="s">
        <v>70</v>
      </c>
      <c r="AR45" s="335"/>
      <c r="AS45" s="335"/>
      <c r="AT45" s="335"/>
      <c r="AU45" s="331"/>
      <c r="AV45" s="357"/>
      <c r="AW45" s="357"/>
      <c r="AX45" s="357"/>
      <c r="AY45" s="357"/>
      <c r="AZ45" s="357"/>
      <c r="BA45" s="357"/>
      <c r="BB45" s="357"/>
      <c r="BC45" s="357"/>
      <c r="BD45" s="357"/>
      <c r="BE45" s="357"/>
      <c r="BF45" s="357"/>
      <c r="BG45" s="357"/>
      <c r="BH45" s="358"/>
      <c r="BI45" s="357"/>
      <c r="BJ45" s="357"/>
      <c r="BK45" s="357"/>
      <c r="BL45" s="357"/>
      <c r="BM45" s="357"/>
      <c r="BN45" s="357"/>
      <c r="BO45" s="357"/>
      <c r="BP45" s="357"/>
      <c r="BQ45" s="357"/>
      <c r="BR45" s="357"/>
      <c r="BS45" s="357"/>
      <c r="BT45" s="357"/>
      <c r="BU45" s="357"/>
      <c r="BV45" s="357"/>
      <c r="BW45" s="357"/>
      <c r="BX45" s="357"/>
      <c r="BY45" s="357"/>
      <c r="BZ45" s="357"/>
      <c r="CA45" s="357"/>
      <c r="CB45" s="357"/>
      <c r="CC45" s="357"/>
      <c r="CD45" s="357"/>
      <c r="CE45" s="357"/>
      <c r="CF45" s="357"/>
      <c r="CG45" s="357"/>
      <c r="CH45" s="357"/>
      <c r="CI45" s="331"/>
      <c r="CJ45" s="331"/>
      <c r="CK45" s="331"/>
      <c r="CL45" s="331"/>
      <c r="CM45" s="331"/>
      <c r="CN45" s="331"/>
      <c r="CO45" s="331"/>
      <c r="CP45" s="331"/>
      <c r="CQ45" s="331">
        <f t="shared" si="42"/>
        <v>0</v>
      </c>
      <c r="CR45" s="331"/>
      <c r="CS45" s="331"/>
      <c r="CT45" s="331"/>
      <c r="CU45" s="331"/>
      <c r="CV45" s="331"/>
      <c r="CW45" s="331"/>
      <c r="CX45" s="331"/>
      <c r="CY45" s="331"/>
      <c r="CZ45" s="331"/>
      <c r="DA45" s="331"/>
      <c r="DB45" s="331"/>
      <c r="DC45" s="331"/>
      <c r="DD45" s="331">
        <f t="shared" si="27"/>
        <v>0</v>
      </c>
      <c r="DE45" s="1"/>
      <c r="DF45" s="1"/>
      <c r="DG45" s="1"/>
      <c r="DH45" s="1"/>
      <c r="DI45" s="1"/>
      <c r="DJ45" s="1"/>
      <c r="DK45" s="1"/>
      <c r="DL45" s="1"/>
      <c r="DM45" s="1"/>
      <c r="DN45" s="1"/>
      <c r="DO45" s="1"/>
      <c r="DP45" s="1"/>
      <c r="DQ45" s="1"/>
      <c r="DR45" s="1"/>
      <c r="DS45" s="1"/>
      <c r="DT45" s="1"/>
    </row>
    <row r="46" spans="1:124" ht="48" x14ac:dyDescent="0.2">
      <c r="A46" s="1" t="s">
        <v>2053</v>
      </c>
      <c r="B46" s="1" t="s">
        <v>107</v>
      </c>
      <c r="C46" s="824"/>
      <c r="D46" s="44" t="s">
        <v>1932</v>
      </c>
      <c r="E46" s="1"/>
      <c r="F46" s="1" t="s">
        <v>463</v>
      </c>
      <c r="G46" s="1" t="s">
        <v>49</v>
      </c>
      <c r="H46" s="1" t="s">
        <v>1306</v>
      </c>
      <c r="I46" s="1" t="s">
        <v>316</v>
      </c>
      <c r="J46" s="24">
        <v>44766</v>
      </c>
      <c r="K46" s="46" t="s">
        <v>1387</v>
      </c>
      <c r="L46" s="897" t="s">
        <v>493</v>
      </c>
      <c r="M46" s="243"/>
      <c r="N46" s="42">
        <f t="shared" si="32"/>
        <v>0</v>
      </c>
      <c r="O46" s="42">
        <f t="shared" si="33"/>
        <v>0</v>
      </c>
      <c r="P46" s="42">
        <f t="shared" si="34"/>
        <v>0</v>
      </c>
      <c r="Q46" s="42">
        <f t="shared" si="35"/>
        <v>0</v>
      </c>
      <c r="R46" s="42">
        <f t="shared" si="43"/>
        <v>0</v>
      </c>
      <c r="S46" s="42">
        <f t="shared" si="36"/>
        <v>0</v>
      </c>
      <c r="T46" s="42">
        <f t="shared" si="37"/>
        <v>0</v>
      </c>
      <c r="U46" s="42">
        <f t="shared" si="38"/>
        <v>0</v>
      </c>
      <c r="V46" s="42">
        <f t="shared" si="39"/>
        <v>0</v>
      </c>
      <c r="W46" s="42">
        <f t="shared" si="44"/>
        <v>0</v>
      </c>
      <c r="X46" s="116">
        <f t="shared" si="40"/>
        <v>0</v>
      </c>
      <c r="Y46" s="605" t="e">
        <f t="shared" si="28"/>
        <v>#VALUE!</v>
      </c>
      <c r="Z46" s="42">
        <f t="shared" si="29"/>
        <v>0</v>
      </c>
      <c r="AA46" s="42">
        <f t="shared" si="30"/>
        <v>309904.3</v>
      </c>
      <c r="AB46" s="42">
        <f t="shared" si="31"/>
        <v>309904.3</v>
      </c>
      <c r="AC46" s="605" t="e">
        <f t="shared" si="41"/>
        <v>#VALUE!</v>
      </c>
      <c r="AD46" s="605"/>
      <c r="AE46" s="605"/>
      <c r="AF46" s="605"/>
      <c r="AG46" s="605"/>
      <c r="AH46" s="223">
        <v>0</v>
      </c>
      <c r="AI46" s="44">
        <v>36</v>
      </c>
      <c r="AJ46" s="44" t="s">
        <v>1304</v>
      </c>
      <c r="AK46" s="44">
        <v>0</v>
      </c>
      <c r="AL46" s="44">
        <v>0</v>
      </c>
      <c r="AM46" s="44" t="s">
        <v>53</v>
      </c>
      <c r="AN46" s="44" t="s">
        <v>53</v>
      </c>
      <c r="AO46" s="44" t="s">
        <v>53</v>
      </c>
      <c r="AP46" s="44" t="s">
        <v>54</v>
      </c>
      <c r="AQ46" s="6" t="s">
        <v>70</v>
      </c>
      <c r="AR46" s="46"/>
      <c r="AS46" s="46"/>
      <c r="AT46" s="46"/>
      <c r="AU46" s="1"/>
      <c r="AV46" s="15"/>
      <c r="AW46" s="15"/>
      <c r="AX46" s="15"/>
      <c r="AY46" s="15"/>
      <c r="AZ46" s="15"/>
      <c r="BA46" s="15"/>
      <c r="BB46" s="15"/>
      <c r="BC46" s="15"/>
      <c r="BD46" s="15"/>
      <c r="BE46" s="15"/>
      <c r="BF46" s="15"/>
      <c r="BG46" s="15"/>
      <c r="BH46" s="102"/>
      <c r="BI46" s="15"/>
      <c r="BJ46" s="15"/>
      <c r="BK46" s="15"/>
      <c r="BL46" s="15"/>
      <c r="BM46" s="15"/>
      <c r="BN46" s="15"/>
      <c r="BO46" s="15"/>
      <c r="BP46" s="15"/>
      <c r="BQ46" s="15"/>
      <c r="BR46" s="15"/>
      <c r="BS46" s="15"/>
      <c r="BT46" s="15"/>
      <c r="BU46" s="15"/>
      <c r="BV46" s="15"/>
      <c r="BW46" s="15"/>
      <c r="BX46" s="15"/>
      <c r="BY46" s="15"/>
      <c r="BZ46" s="15"/>
      <c r="CA46" s="15"/>
      <c r="CB46" s="15"/>
      <c r="CC46" s="15"/>
      <c r="CD46" s="15"/>
      <c r="CE46" s="15"/>
      <c r="CF46" s="15"/>
      <c r="CG46" s="15"/>
      <c r="CH46" s="15"/>
      <c r="CI46" s="1"/>
      <c r="CJ46" s="1"/>
      <c r="CK46" s="1"/>
      <c r="CL46" s="1"/>
      <c r="CM46" s="1"/>
      <c r="CN46" s="1"/>
      <c r="CO46" s="1"/>
      <c r="CP46" s="1"/>
      <c r="CQ46" s="1">
        <f t="shared" si="42"/>
        <v>0</v>
      </c>
      <c r="CR46" s="1"/>
      <c r="CS46" s="1"/>
      <c r="CT46" s="1">
        <v>11523</v>
      </c>
      <c r="CU46" s="1">
        <f>229956.3+9775</f>
        <v>239731.3</v>
      </c>
      <c r="CV46" s="1">
        <v>37950</v>
      </c>
      <c r="CW46" s="1"/>
      <c r="CX46" s="1">
        <v>20700</v>
      </c>
      <c r="CY46" s="1"/>
      <c r="CZ46" s="1"/>
      <c r="DA46" s="1"/>
      <c r="DB46" s="1"/>
      <c r="DC46" s="1"/>
      <c r="DD46" s="1">
        <f t="shared" si="27"/>
        <v>309904.3</v>
      </c>
      <c r="DE46" s="1"/>
      <c r="DF46" s="1"/>
      <c r="DG46" s="1"/>
      <c r="DH46" s="1"/>
      <c r="DI46" s="1"/>
      <c r="DJ46" s="1"/>
      <c r="DK46" s="1"/>
      <c r="DL46" s="1"/>
      <c r="DM46" s="1"/>
      <c r="DN46" s="1"/>
      <c r="DO46" s="1"/>
      <c r="DP46" s="1"/>
      <c r="DQ46" s="1"/>
      <c r="DR46" s="1"/>
      <c r="DS46" s="1"/>
      <c r="DT46" s="1"/>
    </row>
    <row r="47" spans="1:124" ht="48" x14ac:dyDescent="0.2">
      <c r="A47" s="331" t="s">
        <v>2054</v>
      </c>
      <c r="B47" s="331" t="s">
        <v>107</v>
      </c>
      <c r="C47" s="825"/>
      <c r="D47" s="44" t="s">
        <v>1628</v>
      </c>
      <c r="E47" s="331"/>
      <c r="F47" s="331" t="s">
        <v>1373</v>
      </c>
      <c r="G47" s="331" t="s">
        <v>49</v>
      </c>
      <c r="H47" s="331" t="s">
        <v>1306</v>
      </c>
      <c r="I47" s="331" t="s">
        <v>316</v>
      </c>
      <c r="J47" s="402">
        <v>44767</v>
      </c>
      <c r="K47" s="335" t="s">
        <v>1388</v>
      </c>
      <c r="L47" s="457" t="s">
        <v>493</v>
      </c>
      <c r="M47" s="350"/>
      <c r="N47" s="328">
        <f t="shared" si="32"/>
        <v>0</v>
      </c>
      <c r="O47" s="328">
        <f t="shared" si="33"/>
        <v>0</v>
      </c>
      <c r="P47" s="328">
        <f t="shared" si="34"/>
        <v>0</v>
      </c>
      <c r="Q47" s="328">
        <f t="shared" si="35"/>
        <v>0</v>
      </c>
      <c r="R47" s="328">
        <f>P45+Q45</f>
        <v>0</v>
      </c>
      <c r="S47" s="328">
        <f t="shared" si="36"/>
        <v>0</v>
      </c>
      <c r="T47" s="328">
        <f t="shared" si="37"/>
        <v>0</v>
      </c>
      <c r="U47" s="328">
        <f t="shared" si="38"/>
        <v>0</v>
      </c>
      <c r="V47" s="328">
        <f t="shared" si="39"/>
        <v>0</v>
      </c>
      <c r="W47" s="328">
        <f t="shared" ref="W47:W69" si="45">CQ72</f>
        <v>0</v>
      </c>
      <c r="X47" s="355">
        <f t="shared" si="40"/>
        <v>0</v>
      </c>
      <c r="Y47" s="895" t="e">
        <f t="shared" si="28"/>
        <v>#VALUE!</v>
      </c>
      <c r="Z47" s="328">
        <f t="shared" si="29"/>
        <v>0</v>
      </c>
      <c r="AA47" s="328">
        <f t="shared" si="30"/>
        <v>0</v>
      </c>
      <c r="AB47" s="328">
        <f t="shared" si="31"/>
        <v>0</v>
      </c>
      <c r="AC47" s="895" t="e">
        <f t="shared" si="41"/>
        <v>#VALUE!</v>
      </c>
      <c r="AD47" s="895"/>
      <c r="AE47" s="895"/>
      <c r="AF47" s="895"/>
      <c r="AG47" s="895"/>
      <c r="AH47" s="896">
        <v>0</v>
      </c>
      <c r="AI47" s="334">
        <v>36</v>
      </c>
      <c r="AJ47" s="334" t="s">
        <v>1304</v>
      </c>
      <c r="AK47" s="334">
        <v>0</v>
      </c>
      <c r="AL47" s="334">
        <v>0</v>
      </c>
      <c r="AM47" s="334" t="s">
        <v>53</v>
      </c>
      <c r="AN47" s="334" t="s">
        <v>53</v>
      </c>
      <c r="AO47" s="334" t="s">
        <v>53</v>
      </c>
      <c r="AP47" s="334" t="s">
        <v>54</v>
      </c>
      <c r="AQ47" s="382" t="s">
        <v>70</v>
      </c>
      <c r="AR47" s="335"/>
      <c r="AS47" s="335"/>
      <c r="AT47" s="335"/>
      <c r="AU47" s="331"/>
      <c r="AV47" s="357"/>
      <c r="AW47" s="357"/>
      <c r="AX47" s="357"/>
      <c r="AY47" s="357"/>
      <c r="AZ47" s="357"/>
      <c r="BA47" s="357"/>
      <c r="BB47" s="357"/>
      <c r="BC47" s="357"/>
      <c r="BD47" s="357"/>
      <c r="BE47" s="357"/>
      <c r="BF47" s="357"/>
      <c r="BG47" s="357"/>
      <c r="BH47" s="358"/>
      <c r="BI47" s="357"/>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31"/>
      <c r="CJ47" s="331"/>
      <c r="CK47" s="331"/>
      <c r="CL47" s="331"/>
      <c r="CM47" s="331"/>
      <c r="CN47" s="331"/>
      <c r="CO47" s="331"/>
      <c r="CP47" s="331"/>
      <c r="CQ47" s="331">
        <f t="shared" si="42"/>
        <v>0</v>
      </c>
      <c r="CR47" s="331"/>
      <c r="CS47" s="331"/>
      <c r="CT47" s="331"/>
      <c r="CU47" s="331"/>
      <c r="CV47" s="331"/>
      <c r="CW47" s="331"/>
      <c r="CX47" s="331"/>
      <c r="CY47" s="331"/>
      <c r="CZ47" s="331"/>
      <c r="DA47" s="331"/>
      <c r="DB47" s="331"/>
      <c r="DC47" s="331"/>
      <c r="DD47" s="331">
        <f t="shared" si="27"/>
        <v>0</v>
      </c>
      <c r="DE47" s="1"/>
      <c r="DF47" s="1"/>
      <c r="DG47" s="1"/>
      <c r="DH47" s="1"/>
      <c r="DI47" s="1"/>
      <c r="DJ47" s="1"/>
      <c r="DK47" s="1"/>
      <c r="DL47" s="1"/>
      <c r="DM47" s="1"/>
      <c r="DN47" s="1"/>
      <c r="DO47" s="1"/>
      <c r="DP47" s="1"/>
      <c r="DQ47" s="1"/>
      <c r="DR47" s="1"/>
      <c r="DS47" s="1"/>
      <c r="DT47" s="1"/>
    </row>
    <row r="48" spans="1:124" ht="48" x14ac:dyDescent="0.2">
      <c r="A48" s="832" t="s">
        <v>2051</v>
      </c>
      <c r="B48" s="832" t="s">
        <v>107</v>
      </c>
      <c r="C48" s="898" t="s">
        <v>1471</v>
      </c>
      <c r="D48" s="44" t="s">
        <v>2060</v>
      </c>
      <c r="E48" s="331"/>
      <c r="F48" s="331" t="s">
        <v>1474</v>
      </c>
      <c r="G48" s="832" t="s">
        <v>49</v>
      </c>
      <c r="H48" s="832" t="s">
        <v>284</v>
      </c>
      <c r="I48" s="832" t="s">
        <v>363</v>
      </c>
      <c r="J48" s="899">
        <v>45045</v>
      </c>
      <c r="K48" s="899">
        <v>46141</v>
      </c>
      <c r="L48" s="457" t="s">
        <v>1492</v>
      </c>
      <c r="M48" s="350"/>
      <c r="N48" s="328">
        <f t="shared" si="32"/>
        <v>0</v>
      </c>
      <c r="O48" s="328">
        <f t="shared" si="33"/>
        <v>0</v>
      </c>
      <c r="P48" s="328">
        <f t="shared" si="34"/>
        <v>0</v>
      </c>
      <c r="Q48" s="328">
        <f t="shared" si="35"/>
        <v>0</v>
      </c>
      <c r="R48" s="328">
        <f>P46+Q46</f>
        <v>0</v>
      </c>
      <c r="S48" s="328">
        <f t="shared" si="36"/>
        <v>0</v>
      </c>
      <c r="T48" s="328">
        <f t="shared" si="37"/>
        <v>0</v>
      </c>
      <c r="U48" s="328">
        <f t="shared" si="38"/>
        <v>0</v>
      </c>
      <c r="V48" s="328">
        <f t="shared" si="39"/>
        <v>0</v>
      </c>
      <c r="W48" s="328">
        <f t="shared" si="45"/>
        <v>0</v>
      </c>
      <c r="X48" s="355">
        <f t="shared" si="40"/>
        <v>0</v>
      </c>
      <c r="Y48" s="895" t="e">
        <f t="shared" si="28"/>
        <v>#VALUE!</v>
      </c>
      <c r="Z48" s="328">
        <f t="shared" si="29"/>
        <v>0</v>
      </c>
      <c r="AA48" s="328">
        <f t="shared" si="30"/>
        <v>0</v>
      </c>
      <c r="AB48" s="328">
        <f t="shared" si="31"/>
        <v>0</v>
      </c>
      <c r="AC48" s="895" t="e">
        <f t="shared" si="41"/>
        <v>#VALUE!</v>
      </c>
      <c r="AD48" s="895"/>
      <c r="AE48" s="895"/>
      <c r="AF48" s="895"/>
      <c r="AG48" s="895"/>
      <c r="AH48" s="896">
        <v>0</v>
      </c>
      <c r="AI48" s="334">
        <v>36</v>
      </c>
      <c r="AJ48" s="334" t="s">
        <v>1304</v>
      </c>
      <c r="AK48" s="334"/>
      <c r="AL48" s="334"/>
      <c r="AM48" s="334"/>
      <c r="AN48" s="334"/>
      <c r="AO48" s="334"/>
      <c r="AP48" s="334"/>
      <c r="AQ48" s="382" t="s">
        <v>70</v>
      </c>
      <c r="AR48" s="335"/>
      <c r="AS48" s="335"/>
      <c r="AT48" s="335"/>
      <c r="AU48" s="331"/>
      <c r="AV48" s="357"/>
      <c r="AW48" s="357"/>
      <c r="AX48" s="357"/>
      <c r="AY48" s="357"/>
      <c r="AZ48" s="357"/>
      <c r="BA48" s="357"/>
      <c r="BB48" s="357"/>
      <c r="BC48" s="357"/>
      <c r="BD48" s="357"/>
      <c r="BE48" s="357"/>
      <c r="BF48" s="357"/>
      <c r="BG48" s="357"/>
      <c r="BH48" s="358"/>
      <c r="BI48" s="357"/>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31"/>
      <c r="CJ48" s="331"/>
      <c r="CK48" s="331"/>
      <c r="CL48" s="331"/>
      <c r="CM48" s="331"/>
      <c r="CN48" s="331"/>
      <c r="CO48" s="331"/>
      <c r="CP48" s="331"/>
      <c r="CQ48" s="331"/>
      <c r="CR48" s="331"/>
      <c r="CS48" s="331"/>
      <c r="CT48" s="331"/>
      <c r="CU48" s="331"/>
      <c r="CV48" s="331"/>
      <c r="CW48" s="331"/>
      <c r="CX48" s="331"/>
      <c r="CY48" s="331"/>
      <c r="CZ48" s="331"/>
      <c r="DA48" s="331"/>
      <c r="DB48" s="331"/>
      <c r="DC48" s="331"/>
      <c r="DD48" s="331">
        <f t="shared" si="27"/>
        <v>0</v>
      </c>
      <c r="DE48" s="1"/>
      <c r="DF48" s="1"/>
      <c r="DG48" s="1"/>
      <c r="DH48" s="1"/>
      <c r="DI48" s="1"/>
      <c r="DJ48" s="1"/>
      <c r="DK48" s="1"/>
      <c r="DL48" s="1"/>
      <c r="DM48" s="1"/>
      <c r="DN48" s="1"/>
      <c r="DO48" s="1"/>
      <c r="DP48" s="1"/>
      <c r="DQ48" s="1"/>
      <c r="DR48" s="1"/>
      <c r="DS48" s="1"/>
      <c r="DT48" s="1"/>
    </row>
    <row r="49" spans="1:121" ht="48.75" thickBot="1" x14ac:dyDescent="0.25">
      <c r="A49" s="824"/>
      <c r="B49" s="824"/>
      <c r="C49" s="830"/>
      <c r="D49" s="331" t="s">
        <v>1451</v>
      </c>
      <c r="E49" s="331"/>
      <c r="F49" s="331" t="s">
        <v>693</v>
      </c>
      <c r="G49" s="824"/>
      <c r="H49" s="824"/>
      <c r="I49" s="824"/>
      <c r="J49" s="827"/>
      <c r="K49" s="827"/>
      <c r="L49" s="349" t="s">
        <v>1492</v>
      </c>
      <c r="M49" s="350"/>
      <c r="N49" s="351">
        <f t="shared" si="32"/>
        <v>0</v>
      </c>
      <c r="O49" s="352">
        <f t="shared" si="33"/>
        <v>0</v>
      </c>
      <c r="P49" s="353">
        <f t="shared" si="34"/>
        <v>0</v>
      </c>
      <c r="Q49" s="351">
        <f t="shared" si="35"/>
        <v>0</v>
      </c>
      <c r="R49" s="352">
        <f t="shared" si="43"/>
        <v>0</v>
      </c>
      <c r="S49" s="353">
        <f t="shared" si="36"/>
        <v>0</v>
      </c>
      <c r="T49" s="351">
        <f t="shared" si="37"/>
        <v>0</v>
      </c>
      <c r="U49" s="354">
        <f t="shared" si="38"/>
        <v>0</v>
      </c>
      <c r="V49" s="328">
        <f t="shared" si="39"/>
        <v>0</v>
      </c>
      <c r="W49" s="328">
        <f t="shared" si="45"/>
        <v>0</v>
      </c>
      <c r="X49" s="355">
        <f t="shared" si="40"/>
        <v>0</v>
      </c>
      <c r="Y49" s="450" t="e">
        <f t="shared" si="28"/>
        <v>#VALUE!</v>
      </c>
      <c r="Z49" s="451">
        <f t="shared" si="29"/>
        <v>0</v>
      </c>
      <c r="AA49" s="451">
        <f t="shared" si="30"/>
        <v>0</v>
      </c>
      <c r="AB49" s="451">
        <f t="shared" si="31"/>
        <v>0</v>
      </c>
      <c r="AC49" s="450" t="e">
        <f t="shared" si="41"/>
        <v>#VALUE!</v>
      </c>
      <c r="AD49" s="450"/>
      <c r="AE49" s="450"/>
      <c r="AF49" s="450"/>
      <c r="AG49" s="450"/>
      <c r="AH49" s="356">
        <v>0</v>
      </c>
      <c r="AI49" s="334">
        <v>36</v>
      </c>
      <c r="AJ49" s="334" t="s">
        <v>1304</v>
      </c>
      <c r="AK49" s="334"/>
      <c r="AL49" s="334"/>
      <c r="AM49" s="334"/>
      <c r="AN49" s="334"/>
      <c r="AO49" s="334"/>
      <c r="AP49" s="334"/>
      <c r="AQ49" s="382" t="s">
        <v>70</v>
      </c>
      <c r="AR49" s="335"/>
      <c r="AS49" s="335"/>
      <c r="AT49" s="335"/>
      <c r="AU49" s="331"/>
      <c r="AV49" s="357"/>
      <c r="AW49" s="357"/>
      <c r="AX49" s="357"/>
      <c r="AY49" s="357"/>
      <c r="AZ49" s="357"/>
      <c r="BA49" s="357"/>
      <c r="BB49" s="357"/>
      <c r="BC49" s="357"/>
      <c r="BD49" s="357"/>
      <c r="BE49" s="357"/>
      <c r="BF49" s="357"/>
      <c r="BG49" s="357"/>
      <c r="BH49" s="358"/>
      <c r="BI49" s="357"/>
      <c r="BJ49" s="357"/>
      <c r="BK49" s="357"/>
      <c r="BL49" s="357"/>
      <c r="BM49" s="357"/>
      <c r="BN49" s="357"/>
      <c r="BO49" s="357"/>
      <c r="BP49" s="357"/>
      <c r="BQ49" s="357"/>
      <c r="BR49" s="357"/>
      <c r="BS49" s="357"/>
      <c r="BT49" s="357"/>
      <c r="BU49" s="357"/>
      <c r="BV49" s="357"/>
      <c r="BW49" s="357"/>
      <c r="BX49" s="357"/>
      <c r="BY49" s="357"/>
      <c r="BZ49" s="357"/>
      <c r="CA49" s="357"/>
      <c r="CB49" s="357"/>
      <c r="CC49" s="357"/>
      <c r="CD49" s="357"/>
      <c r="CE49" s="357"/>
      <c r="CF49" s="357"/>
      <c r="CG49" s="357"/>
      <c r="CH49" s="357"/>
      <c r="CI49" s="331"/>
      <c r="CJ49" s="331"/>
      <c r="CK49" s="331"/>
      <c r="CL49" s="331"/>
      <c r="CM49" s="331"/>
      <c r="CN49" s="331"/>
      <c r="CO49" s="331"/>
      <c r="CP49" s="331"/>
      <c r="CQ49" s="369"/>
      <c r="CR49" s="331"/>
      <c r="CS49" s="331"/>
      <c r="CT49" s="331"/>
      <c r="CU49" s="331"/>
      <c r="CV49" s="331"/>
      <c r="CW49" s="331"/>
      <c r="CX49" s="331"/>
      <c r="CY49" s="331"/>
      <c r="CZ49" s="331"/>
      <c r="DA49" s="331"/>
      <c r="DB49" s="331"/>
      <c r="DC49" s="331"/>
      <c r="DD49" s="331">
        <f t="shared" si="27"/>
        <v>0</v>
      </c>
      <c r="DE49" s="1"/>
      <c r="DF49" s="1"/>
      <c r="DG49" s="1"/>
      <c r="DH49" s="1"/>
      <c r="DI49" s="1"/>
      <c r="DJ49" s="1"/>
      <c r="DK49" s="1"/>
      <c r="DL49" s="1"/>
      <c r="DM49" s="1"/>
      <c r="DN49" s="1"/>
      <c r="DO49" s="1"/>
      <c r="DP49" s="1"/>
      <c r="DQ49" s="1"/>
    </row>
    <row r="50" spans="1:121" ht="48.75" thickBot="1" x14ac:dyDescent="0.25">
      <c r="A50" s="824"/>
      <c r="B50" s="824"/>
      <c r="C50" s="830"/>
      <c r="D50" s="331" t="s">
        <v>1452</v>
      </c>
      <c r="E50" s="331"/>
      <c r="F50" s="331" t="s">
        <v>1475</v>
      </c>
      <c r="G50" s="824"/>
      <c r="H50" s="824"/>
      <c r="I50" s="824"/>
      <c r="J50" s="827"/>
      <c r="K50" s="827"/>
      <c r="L50" s="349" t="s">
        <v>1492</v>
      </c>
      <c r="M50" s="350"/>
      <c r="N50" s="351">
        <f t="shared" si="32"/>
        <v>0</v>
      </c>
      <c r="O50" s="352">
        <f t="shared" si="33"/>
        <v>0</v>
      </c>
      <c r="P50" s="353">
        <f t="shared" si="34"/>
        <v>0</v>
      </c>
      <c r="Q50" s="351">
        <f t="shared" si="35"/>
        <v>0</v>
      </c>
      <c r="R50" s="352">
        <f t="shared" si="43"/>
        <v>0</v>
      </c>
      <c r="S50" s="353">
        <f t="shared" si="36"/>
        <v>0</v>
      </c>
      <c r="T50" s="351">
        <f t="shared" si="37"/>
        <v>0</v>
      </c>
      <c r="U50" s="354">
        <f t="shared" si="38"/>
        <v>0</v>
      </c>
      <c r="V50" s="328">
        <f t="shared" si="39"/>
        <v>0</v>
      </c>
      <c r="W50" s="328">
        <f t="shared" si="45"/>
        <v>0</v>
      </c>
      <c r="X50" s="355">
        <f t="shared" si="40"/>
        <v>0</v>
      </c>
      <c r="Y50" s="450" t="e">
        <f t="shared" si="28"/>
        <v>#VALUE!</v>
      </c>
      <c r="Z50" s="451">
        <f t="shared" si="29"/>
        <v>0</v>
      </c>
      <c r="AA50" s="451">
        <f t="shared" si="30"/>
        <v>0</v>
      </c>
      <c r="AB50" s="451">
        <f t="shared" si="31"/>
        <v>0</v>
      </c>
      <c r="AC50" s="450" t="e">
        <f t="shared" si="41"/>
        <v>#VALUE!</v>
      </c>
      <c r="AD50" s="450"/>
      <c r="AE50" s="450"/>
      <c r="AF50" s="450"/>
      <c r="AG50" s="450"/>
      <c r="AH50" s="356">
        <v>0</v>
      </c>
      <c r="AI50" s="334">
        <v>36</v>
      </c>
      <c r="AJ50" s="334" t="s">
        <v>1304</v>
      </c>
      <c r="AK50" s="334"/>
      <c r="AL50" s="334"/>
      <c r="AM50" s="334"/>
      <c r="AN50" s="334"/>
      <c r="AO50" s="334"/>
      <c r="AP50" s="334"/>
      <c r="AQ50" s="382" t="s">
        <v>70</v>
      </c>
      <c r="AR50" s="335"/>
      <c r="AS50" s="335"/>
      <c r="AT50" s="335"/>
      <c r="AU50" s="331"/>
      <c r="AV50" s="357"/>
      <c r="AW50" s="357"/>
      <c r="AX50" s="357"/>
      <c r="AY50" s="357"/>
      <c r="AZ50" s="357"/>
      <c r="BA50" s="357"/>
      <c r="BB50" s="357"/>
      <c r="BC50" s="357"/>
      <c r="BD50" s="357"/>
      <c r="BE50" s="357"/>
      <c r="BF50" s="357"/>
      <c r="BG50" s="357"/>
      <c r="BH50" s="358"/>
      <c r="BI50" s="357"/>
      <c r="BJ50" s="357"/>
      <c r="BK50" s="357"/>
      <c r="BL50" s="357"/>
      <c r="BM50" s="357"/>
      <c r="BN50" s="357"/>
      <c r="BO50" s="357"/>
      <c r="BP50" s="357"/>
      <c r="BQ50" s="357"/>
      <c r="BR50" s="357"/>
      <c r="BS50" s="357"/>
      <c r="BT50" s="357"/>
      <c r="BU50" s="357"/>
      <c r="BV50" s="357"/>
      <c r="BW50" s="357"/>
      <c r="BX50" s="357"/>
      <c r="BY50" s="357"/>
      <c r="BZ50" s="357"/>
      <c r="CA50" s="357"/>
      <c r="CB50" s="357"/>
      <c r="CC50" s="357"/>
      <c r="CD50" s="357"/>
      <c r="CE50" s="357"/>
      <c r="CF50" s="357"/>
      <c r="CG50" s="357"/>
      <c r="CH50" s="357"/>
      <c r="CI50" s="331"/>
      <c r="CJ50" s="331"/>
      <c r="CK50" s="331"/>
      <c r="CL50" s="331"/>
      <c r="CM50" s="331"/>
      <c r="CN50" s="331"/>
      <c r="CO50" s="331"/>
      <c r="CP50" s="331"/>
      <c r="CQ50" s="369"/>
      <c r="CR50" s="331"/>
      <c r="CS50" s="331"/>
      <c r="CT50" s="331"/>
      <c r="CU50" s="331"/>
      <c r="CV50" s="331"/>
      <c r="CW50" s="331"/>
      <c r="CX50" s="331"/>
      <c r="CY50" s="331"/>
      <c r="CZ50" s="331"/>
      <c r="DA50" s="331"/>
      <c r="DB50" s="331"/>
      <c r="DC50" s="331"/>
      <c r="DD50" s="331">
        <f t="shared" si="27"/>
        <v>0</v>
      </c>
      <c r="DE50" s="1"/>
      <c r="DF50" s="1"/>
      <c r="DG50" s="1"/>
      <c r="DH50" s="1"/>
      <c r="DI50" s="1"/>
      <c r="DJ50" s="1"/>
      <c r="DK50" s="1"/>
      <c r="DL50" s="1"/>
      <c r="DM50" s="1"/>
      <c r="DN50" s="1"/>
      <c r="DO50" s="1"/>
      <c r="DP50" s="1"/>
      <c r="DQ50" s="1"/>
    </row>
    <row r="51" spans="1:121" ht="48.75" thickBot="1" x14ac:dyDescent="0.25">
      <c r="A51" s="824"/>
      <c r="B51" s="824"/>
      <c r="C51" s="830"/>
      <c r="D51" s="331" t="s">
        <v>1453</v>
      </c>
      <c r="E51" s="331"/>
      <c r="F51" s="331" t="s">
        <v>1480</v>
      </c>
      <c r="G51" s="824"/>
      <c r="H51" s="824"/>
      <c r="I51" s="824"/>
      <c r="J51" s="827"/>
      <c r="K51" s="827"/>
      <c r="L51" s="349" t="s">
        <v>1492</v>
      </c>
      <c r="M51" s="350"/>
      <c r="N51" s="351">
        <f t="shared" si="32"/>
        <v>0</v>
      </c>
      <c r="O51" s="352">
        <f t="shared" si="33"/>
        <v>0</v>
      </c>
      <c r="P51" s="353">
        <f t="shared" si="34"/>
        <v>0</v>
      </c>
      <c r="Q51" s="351">
        <f t="shared" si="35"/>
        <v>0</v>
      </c>
      <c r="R51" s="352">
        <f t="shared" si="43"/>
        <v>0</v>
      </c>
      <c r="S51" s="353">
        <f t="shared" si="36"/>
        <v>0</v>
      </c>
      <c r="T51" s="351">
        <f t="shared" si="37"/>
        <v>0</v>
      </c>
      <c r="U51" s="354">
        <f t="shared" si="38"/>
        <v>0</v>
      </c>
      <c r="V51" s="328">
        <f t="shared" si="39"/>
        <v>0</v>
      </c>
      <c r="W51" s="328">
        <f t="shared" si="45"/>
        <v>0</v>
      </c>
      <c r="X51" s="355">
        <f t="shared" si="40"/>
        <v>0</v>
      </c>
      <c r="Y51" s="450" t="e">
        <f t="shared" si="28"/>
        <v>#VALUE!</v>
      </c>
      <c r="Z51" s="451">
        <f t="shared" si="29"/>
        <v>0</v>
      </c>
      <c r="AA51" s="451">
        <f t="shared" si="30"/>
        <v>0</v>
      </c>
      <c r="AB51" s="451">
        <f t="shared" si="31"/>
        <v>0</v>
      </c>
      <c r="AC51" s="450" t="e">
        <f t="shared" si="41"/>
        <v>#VALUE!</v>
      </c>
      <c r="AD51" s="450"/>
      <c r="AE51" s="450"/>
      <c r="AF51" s="450"/>
      <c r="AG51" s="450"/>
      <c r="AH51" s="356">
        <v>0</v>
      </c>
      <c r="AI51" s="334">
        <v>36</v>
      </c>
      <c r="AJ51" s="334" t="s">
        <v>1304</v>
      </c>
      <c r="AK51" s="334"/>
      <c r="AL51" s="334"/>
      <c r="AM51" s="334"/>
      <c r="AN51" s="334"/>
      <c r="AO51" s="334"/>
      <c r="AP51" s="334"/>
      <c r="AQ51" s="382" t="s">
        <v>70</v>
      </c>
      <c r="AR51" s="335"/>
      <c r="AS51" s="335"/>
      <c r="AT51" s="335"/>
      <c r="AU51" s="331"/>
      <c r="AV51" s="357"/>
      <c r="AW51" s="357"/>
      <c r="AX51" s="357"/>
      <c r="AY51" s="357"/>
      <c r="AZ51" s="357"/>
      <c r="BA51" s="357"/>
      <c r="BB51" s="357"/>
      <c r="BC51" s="357"/>
      <c r="BD51" s="357"/>
      <c r="BE51" s="357"/>
      <c r="BF51" s="357"/>
      <c r="BG51" s="357"/>
      <c r="BH51" s="358"/>
      <c r="BI51" s="357"/>
      <c r="BJ51" s="357"/>
      <c r="BK51" s="357"/>
      <c r="BL51" s="357"/>
      <c r="BM51" s="357"/>
      <c r="BN51" s="357"/>
      <c r="BO51" s="357"/>
      <c r="BP51" s="357"/>
      <c r="BQ51" s="357"/>
      <c r="BR51" s="357"/>
      <c r="BS51" s="357"/>
      <c r="BT51" s="357"/>
      <c r="BU51" s="357"/>
      <c r="BV51" s="357"/>
      <c r="BW51" s="357"/>
      <c r="BX51" s="357"/>
      <c r="BY51" s="357"/>
      <c r="BZ51" s="357"/>
      <c r="CA51" s="357"/>
      <c r="CB51" s="357"/>
      <c r="CC51" s="357"/>
      <c r="CD51" s="357"/>
      <c r="CE51" s="357"/>
      <c r="CF51" s="357"/>
      <c r="CG51" s="357"/>
      <c r="CH51" s="357"/>
      <c r="CI51" s="331"/>
      <c r="CJ51" s="331"/>
      <c r="CK51" s="331"/>
      <c r="CL51" s="331"/>
      <c r="CM51" s="331"/>
      <c r="CN51" s="331"/>
      <c r="CO51" s="331"/>
      <c r="CP51" s="331"/>
      <c r="CQ51" s="369"/>
      <c r="CR51" s="331"/>
      <c r="CS51" s="331"/>
      <c r="CT51" s="331"/>
      <c r="CU51" s="331"/>
      <c r="CV51" s="331"/>
      <c r="CW51" s="331"/>
      <c r="CX51" s="331"/>
      <c r="CY51" s="331"/>
      <c r="CZ51" s="331"/>
      <c r="DA51" s="331"/>
      <c r="DB51" s="331"/>
      <c r="DC51" s="331"/>
      <c r="DD51" s="331">
        <f t="shared" si="27"/>
        <v>0</v>
      </c>
      <c r="DE51" s="1"/>
      <c r="DF51" s="1"/>
      <c r="DG51" s="1"/>
      <c r="DH51" s="1"/>
      <c r="DI51" s="1"/>
      <c r="DJ51" s="1"/>
      <c r="DK51" s="1"/>
      <c r="DL51" s="1"/>
      <c r="DM51" s="1"/>
      <c r="DN51" s="1"/>
      <c r="DO51" s="1"/>
      <c r="DP51" s="1"/>
      <c r="DQ51" s="1"/>
    </row>
    <row r="52" spans="1:121" ht="48.75" thickBot="1" x14ac:dyDescent="0.25">
      <c r="A52" s="824"/>
      <c r="B52" s="824"/>
      <c r="C52" s="830"/>
      <c r="D52" s="1" t="s">
        <v>1454</v>
      </c>
      <c r="E52" s="17"/>
      <c r="F52" s="17" t="s">
        <v>1478</v>
      </c>
      <c r="G52" s="824"/>
      <c r="H52" s="824"/>
      <c r="I52" s="824"/>
      <c r="J52" s="827"/>
      <c r="K52" s="827"/>
      <c r="L52" s="603" t="s">
        <v>1492</v>
      </c>
      <c r="M52" s="243"/>
      <c r="N52" s="599">
        <f t="shared" si="32"/>
        <v>0</v>
      </c>
      <c r="O52" s="600">
        <f t="shared" si="33"/>
        <v>0</v>
      </c>
      <c r="P52" s="601">
        <f t="shared" si="34"/>
        <v>0</v>
      </c>
      <c r="Q52" s="599">
        <f t="shared" si="35"/>
        <v>0</v>
      </c>
      <c r="R52" s="600">
        <f t="shared" si="43"/>
        <v>0</v>
      </c>
      <c r="S52" s="601">
        <f t="shared" si="36"/>
        <v>0</v>
      </c>
      <c r="T52" s="599">
        <f t="shared" si="37"/>
        <v>0</v>
      </c>
      <c r="U52" s="602">
        <f t="shared" si="38"/>
        <v>0</v>
      </c>
      <c r="V52" s="42">
        <f t="shared" si="39"/>
        <v>0</v>
      </c>
      <c r="W52" s="42">
        <f t="shared" si="45"/>
        <v>0</v>
      </c>
      <c r="X52" s="116">
        <f t="shared" si="40"/>
        <v>0</v>
      </c>
      <c r="Y52" s="596" t="e">
        <f t="shared" si="28"/>
        <v>#VALUE!</v>
      </c>
      <c r="Z52" s="597">
        <f t="shared" si="29"/>
        <v>0</v>
      </c>
      <c r="AA52" s="597">
        <f t="shared" si="30"/>
        <v>195511.5</v>
      </c>
      <c r="AB52" s="597">
        <f t="shared" si="31"/>
        <v>195511.5</v>
      </c>
      <c r="AC52" s="596" t="e">
        <f t="shared" si="41"/>
        <v>#VALUE!</v>
      </c>
      <c r="AD52" s="596"/>
      <c r="AE52" s="596"/>
      <c r="AF52" s="596"/>
      <c r="AG52" s="596"/>
      <c r="AH52" s="158">
        <v>0</v>
      </c>
      <c r="AI52" s="44">
        <v>36</v>
      </c>
      <c r="AJ52" s="44" t="s">
        <v>1304</v>
      </c>
      <c r="AK52" s="44"/>
      <c r="AL52" s="44"/>
      <c r="AM52" s="44"/>
      <c r="AN52" s="44"/>
      <c r="AO52" s="44"/>
      <c r="AP52" s="44"/>
      <c r="AQ52" s="6" t="s">
        <v>70</v>
      </c>
      <c r="AR52" s="46"/>
      <c r="AS52" s="46"/>
      <c r="AT52" s="46"/>
      <c r="AU52" s="1"/>
      <c r="AV52" s="15"/>
      <c r="AW52" s="15"/>
      <c r="AX52" s="15"/>
      <c r="AY52" s="15"/>
      <c r="AZ52" s="15"/>
      <c r="BA52" s="15"/>
      <c r="BB52" s="15"/>
      <c r="BC52" s="15"/>
      <c r="BD52" s="15"/>
      <c r="BE52" s="15"/>
      <c r="BF52" s="15"/>
      <c r="BG52" s="15"/>
      <c r="BH52" s="102"/>
      <c r="BI52" s="15"/>
      <c r="BJ52" s="15"/>
      <c r="BK52" s="15"/>
      <c r="BL52" s="15"/>
      <c r="BM52" s="15"/>
      <c r="BN52" s="15"/>
      <c r="BO52" s="15"/>
      <c r="BP52" s="15"/>
      <c r="BQ52" s="15"/>
      <c r="BR52" s="15"/>
      <c r="BS52" s="15"/>
      <c r="BT52" s="15"/>
      <c r="BU52" s="15"/>
      <c r="BV52" s="15"/>
      <c r="BW52" s="15"/>
      <c r="BX52" s="15"/>
      <c r="BY52" s="15"/>
      <c r="BZ52" s="15"/>
      <c r="CA52" s="15"/>
      <c r="CB52" s="15"/>
      <c r="CC52" s="15"/>
      <c r="CD52" s="15"/>
      <c r="CE52" s="15"/>
      <c r="CF52" s="15"/>
      <c r="CG52" s="15"/>
      <c r="CH52" s="15"/>
      <c r="CI52" s="1"/>
      <c r="CJ52" s="1"/>
      <c r="CK52" s="1"/>
      <c r="CL52" s="1"/>
      <c r="CM52" s="1"/>
      <c r="CN52" s="1"/>
      <c r="CO52" s="1"/>
      <c r="CP52" s="1"/>
      <c r="CQ52" s="366"/>
      <c r="CR52" s="1"/>
      <c r="CS52" s="1"/>
      <c r="CT52" s="1"/>
      <c r="CU52" s="1"/>
      <c r="CV52" s="1"/>
      <c r="CW52" s="1">
        <v>195511.5</v>
      </c>
      <c r="CX52" s="1"/>
      <c r="CY52" s="1"/>
      <c r="CZ52" s="1"/>
      <c r="DA52" s="1"/>
      <c r="DB52" s="1"/>
      <c r="DC52" s="1"/>
      <c r="DD52" s="1">
        <f t="shared" si="27"/>
        <v>195511.5</v>
      </c>
      <c r="DE52" s="1"/>
      <c r="DF52" s="1"/>
      <c r="DG52" s="1"/>
      <c r="DH52" s="1"/>
      <c r="DI52" s="1"/>
      <c r="DJ52" s="1"/>
      <c r="DK52" s="1"/>
      <c r="DL52" s="1"/>
      <c r="DM52" s="1"/>
      <c r="DN52" s="1"/>
      <c r="DO52" s="1"/>
      <c r="DP52" s="1"/>
      <c r="DQ52" s="1"/>
    </row>
    <row r="53" spans="1:121" ht="48.75" thickBot="1" x14ac:dyDescent="0.25">
      <c r="A53" s="824"/>
      <c r="B53" s="824"/>
      <c r="C53" s="830"/>
      <c r="D53" s="331" t="s">
        <v>1455</v>
      </c>
      <c r="E53" s="331"/>
      <c r="F53" s="331" t="s">
        <v>1472</v>
      </c>
      <c r="G53" s="824"/>
      <c r="H53" s="824"/>
      <c r="I53" s="824"/>
      <c r="J53" s="827"/>
      <c r="K53" s="827"/>
      <c r="L53" s="349" t="s">
        <v>1492</v>
      </c>
      <c r="M53" s="350"/>
      <c r="N53" s="351">
        <f t="shared" si="32"/>
        <v>0</v>
      </c>
      <c r="O53" s="352">
        <f t="shared" si="33"/>
        <v>0</v>
      </c>
      <c r="P53" s="353">
        <f t="shared" si="34"/>
        <v>0</v>
      </c>
      <c r="Q53" s="351">
        <f t="shared" si="35"/>
        <v>0</v>
      </c>
      <c r="R53" s="352">
        <f t="shared" si="43"/>
        <v>0</v>
      </c>
      <c r="S53" s="353">
        <f t="shared" si="36"/>
        <v>0</v>
      </c>
      <c r="T53" s="351">
        <f t="shared" si="37"/>
        <v>0</v>
      </c>
      <c r="U53" s="354">
        <f t="shared" si="38"/>
        <v>0</v>
      </c>
      <c r="V53" s="328">
        <f t="shared" si="39"/>
        <v>0</v>
      </c>
      <c r="W53" s="328">
        <f t="shared" si="45"/>
        <v>0</v>
      </c>
      <c r="X53" s="355">
        <f t="shared" si="40"/>
        <v>0</v>
      </c>
      <c r="Y53" s="450" t="e">
        <f t="shared" si="28"/>
        <v>#VALUE!</v>
      </c>
      <c r="Z53" s="451">
        <f t="shared" si="29"/>
        <v>0</v>
      </c>
      <c r="AA53" s="451">
        <f t="shared" si="30"/>
        <v>0</v>
      </c>
      <c r="AB53" s="451">
        <f t="shared" si="31"/>
        <v>0</v>
      </c>
      <c r="AC53" s="450" t="e">
        <f t="shared" si="41"/>
        <v>#VALUE!</v>
      </c>
      <c r="AD53" s="450"/>
      <c r="AE53" s="450"/>
      <c r="AF53" s="450"/>
      <c r="AG53" s="450"/>
      <c r="AH53" s="356">
        <v>0</v>
      </c>
      <c r="AI53" s="334">
        <v>36</v>
      </c>
      <c r="AJ53" s="334" t="s">
        <v>1304</v>
      </c>
      <c r="AK53" s="334"/>
      <c r="AL53" s="334"/>
      <c r="AM53" s="334"/>
      <c r="AN53" s="334"/>
      <c r="AO53" s="334"/>
      <c r="AP53" s="334"/>
      <c r="AQ53" s="382" t="s">
        <v>70</v>
      </c>
      <c r="AR53" s="335"/>
      <c r="AS53" s="335"/>
      <c r="AT53" s="335"/>
      <c r="AU53" s="331"/>
      <c r="AV53" s="357"/>
      <c r="AW53" s="357"/>
      <c r="AX53" s="357"/>
      <c r="AY53" s="357"/>
      <c r="AZ53" s="357"/>
      <c r="BA53" s="357"/>
      <c r="BB53" s="357"/>
      <c r="BC53" s="357"/>
      <c r="BD53" s="357"/>
      <c r="BE53" s="357"/>
      <c r="BF53" s="357"/>
      <c r="BG53" s="357"/>
      <c r="BH53" s="358"/>
      <c r="BI53" s="357"/>
      <c r="BJ53" s="357"/>
      <c r="BK53" s="357"/>
      <c r="BL53" s="357"/>
      <c r="BM53" s="357"/>
      <c r="BN53" s="357"/>
      <c r="BO53" s="357"/>
      <c r="BP53" s="357"/>
      <c r="BQ53" s="357"/>
      <c r="BR53" s="357"/>
      <c r="BS53" s="357"/>
      <c r="BT53" s="357"/>
      <c r="BU53" s="357"/>
      <c r="BV53" s="357"/>
      <c r="BW53" s="357"/>
      <c r="BX53" s="357"/>
      <c r="BY53" s="357"/>
      <c r="BZ53" s="357"/>
      <c r="CA53" s="357"/>
      <c r="CB53" s="357"/>
      <c r="CC53" s="357"/>
      <c r="CD53" s="357"/>
      <c r="CE53" s="357"/>
      <c r="CF53" s="357"/>
      <c r="CG53" s="357"/>
      <c r="CH53" s="357"/>
      <c r="CI53" s="331"/>
      <c r="CJ53" s="331"/>
      <c r="CK53" s="331"/>
      <c r="CL53" s="331"/>
      <c r="CM53" s="331"/>
      <c r="CN53" s="331"/>
      <c r="CO53" s="331"/>
      <c r="CP53" s="331"/>
      <c r="CQ53" s="369"/>
      <c r="CR53" s="331"/>
      <c r="CS53" s="331"/>
      <c r="CT53" s="331"/>
      <c r="CU53" s="331"/>
      <c r="CV53" s="331"/>
      <c r="CW53" s="331"/>
      <c r="CX53" s="331"/>
      <c r="CY53" s="331"/>
      <c r="CZ53" s="331"/>
      <c r="DA53" s="331"/>
      <c r="DB53" s="331"/>
      <c r="DC53" s="331"/>
      <c r="DD53" s="331">
        <f t="shared" si="27"/>
        <v>0</v>
      </c>
      <c r="DE53" s="1"/>
      <c r="DF53" s="1"/>
      <c r="DG53" s="1"/>
      <c r="DH53" s="1"/>
      <c r="DI53" s="1"/>
      <c r="DJ53" s="1"/>
      <c r="DK53" s="1"/>
      <c r="DL53" s="1"/>
      <c r="DM53" s="1"/>
      <c r="DN53" s="1"/>
      <c r="DO53" s="1"/>
      <c r="DP53" s="1"/>
      <c r="DQ53" s="1"/>
    </row>
    <row r="54" spans="1:121" ht="48.75" thickBot="1" x14ac:dyDescent="0.25">
      <c r="A54" s="824"/>
      <c r="B54" s="824"/>
      <c r="C54" s="830"/>
      <c r="D54" s="331" t="s">
        <v>1456</v>
      </c>
      <c r="E54" s="331"/>
      <c r="F54" s="331" t="s">
        <v>1476</v>
      </c>
      <c r="G54" s="824"/>
      <c r="H54" s="824"/>
      <c r="I54" s="824"/>
      <c r="J54" s="827"/>
      <c r="K54" s="827"/>
      <c r="L54" s="349" t="s">
        <v>1492</v>
      </c>
      <c r="M54" s="350"/>
      <c r="N54" s="351">
        <f t="shared" si="32"/>
        <v>0</v>
      </c>
      <c r="O54" s="352">
        <f t="shared" si="33"/>
        <v>0</v>
      </c>
      <c r="P54" s="353">
        <f t="shared" si="34"/>
        <v>0</v>
      </c>
      <c r="Q54" s="351">
        <f t="shared" si="35"/>
        <v>0</v>
      </c>
      <c r="R54" s="352">
        <f t="shared" si="43"/>
        <v>0</v>
      </c>
      <c r="S54" s="353">
        <f t="shared" si="36"/>
        <v>0</v>
      </c>
      <c r="T54" s="351">
        <f t="shared" si="37"/>
        <v>0</v>
      </c>
      <c r="U54" s="354">
        <f t="shared" si="38"/>
        <v>0</v>
      </c>
      <c r="V54" s="328">
        <f t="shared" si="39"/>
        <v>0</v>
      </c>
      <c r="W54" s="328">
        <f t="shared" si="45"/>
        <v>0</v>
      </c>
      <c r="X54" s="355">
        <f t="shared" si="40"/>
        <v>0</v>
      </c>
      <c r="Y54" s="450" t="e">
        <f t="shared" si="28"/>
        <v>#VALUE!</v>
      </c>
      <c r="Z54" s="451">
        <f t="shared" si="29"/>
        <v>0</v>
      </c>
      <c r="AA54" s="451">
        <f t="shared" si="30"/>
        <v>0</v>
      </c>
      <c r="AB54" s="451">
        <f t="shared" si="31"/>
        <v>0</v>
      </c>
      <c r="AC54" s="450" t="e">
        <f t="shared" si="41"/>
        <v>#VALUE!</v>
      </c>
      <c r="AD54" s="450"/>
      <c r="AE54" s="450"/>
      <c r="AF54" s="450"/>
      <c r="AG54" s="450"/>
      <c r="AH54" s="356">
        <v>0</v>
      </c>
      <c r="AI54" s="334">
        <v>36</v>
      </c>
      <c r="AJ54" s="334" t="s">
        <v>1304</v>
      </c>
      <c r="AK54" s="334"/>
      <c r="AL54" s="334"/>
      <c r="AM54" s="334"/>
      <c r="AN54" s="334"/>
      <c r="AO54" s="334"/>
      <c r="AP54" s="334"/>
      <c r="AQ54" s="382" t="s">
        <v>70</v>
      </c>
      <c r="AR54" s="335"/>
      <c r="AS54" s="335"/>
      <c r="AT54" s="335"/>
      <c r="AU54" s="331"/>
      <c r="AV54" s="357"/>
      <c r="AW54" s="357"/>
      <c r="AX54" s="357"/>
      <c r="AY54" s="357"/>
      <c r="AZ54" s="357"/>
      <c r="BA54" s="357"/>
      <c r="BB54" s="357"/>
      <c r="BC54" s="357"/>
      <c r="BD54" s="357"/>
      <c r="BE54" s="357"/>
      <c r="BF54" s="357"/>
      <c r="BG54" s="357"/>
      <c r="BH54" s="358"/>
      <c r="BI54" s="357"/>
      <c r="BJ54" s="357"/>
      <c r="BK54" s="357"/>
      <c r="BL54" s="357"/>
      <c r="BM54" s="357"/>
      <c r="BN54" s="357"/>
      <c r="BO54" s="357"/>
      <c r="BP54" s="357"/>
      <c r="BQ54" s="357"/>
      <c r="BR54" s="357"/>
      <c r="BS54" s="357"/>
      <c r="BT54" s="357"/>
      <c r="BU54" s="357"/>
      <c r="BV54" s="357"/>
      <c r="BW54" s="357"/>
      <c r="BX54" s="357"/>
      <c r="BY54" s="357"/>
      <c r="BZ54" s="357"/>
      <c r="CA54" s="357"/>
      <c r="CB54" s="357"/>
      <c r="CC54" s="357"/>
      <c r="CD54" s="357"/>
      <c r="CE54" s="357"/>
      <c r="CF54" s="357"/>
      <c r="CG54" s="357"/>
      <c r="CH54" s="357"/>
      <c r="CI54" s="331"/>
      <c r="CJ54" s="331"/>
      <c r="CK54" s="331"/>
      <c r="CL54" s="331"/>
      <c r="CM54" s="331"/>
      <c r="CN54" s="331"/>
      <c r="CO54" s="331"/>
      <c r="CP54" s="331"/>
      <c r="CQ54" s="369"/>
      <c r="CR54" s="331"/>
      <c r="CS54" s="331"/>
      <c r="CT54" s="331"/>
      <c r="CU54" s="331"/>
      <c r="CV54" s="331"/>
      <c r="CW54" s="331"/>
      <c r="CX54" s="331"/>
      <c r="CY54" s="331"/>
      <c r="CZ54" s="331"/>
      <c r="DA54" s="331"/>
      <c r="DB54" s="331"/>
      <c r="DC54" s="331"/>
      <c r="DD54" s="331">
        <f t="shared" si="27"/>
        <v>0</v>
      </c>
      <c r="DE54" s="1"/>
      <c r="DF54" s="1"/>
      <c r="DG54" s="1"/>
      <c r="DH54" s="1"/>
      <c r="DI54" s="1"/>
      <c r="DJ54" s="1"/>
      <c r="DK54" s="1"/>
      <c r="DL54" s="1"/>
      <c r="DM54" s="1"/>
      <c r="DN54" s="1"/>
      <c r="DO54" s="1"/>
      <c r="DP54" s="1"/>
      <c r="DQ54" s="1"/>
    </row>
    <row r="55" spans="1:121" ht="48.75" thickBot="1" x14ac:dyDescent="0.25">
      <c r="A55" s="824"/>
      <c r="B55" s="824"/>
      <c r="C55" s="830"/>
      <c r="D55" s="331" t="s">
        <v>1457</v>
      </c>
      <c r="E55" s="331"/>
      <c r="F55" s="331" t="s">
        <v>1484</v>
      </c>
      <c r="G55" s="824"/>
      <c r="H55" s="824"/>
      <c r="I55" s="824"/>
      <c r="J55" s="827"/>
      <c r="K55" s="827"/>
      <c r="L55" s="349" t="s">
        <v>1492</v>
      </c>
      <c r="M55" s="350"/>
      <c r="N55" s="351">
        <f t="shared" si="32"/>
        <v>0</v>
      </c>
      <c r="O55" s="352">
        <f t="shared" si="33"/>
        <v>0</v>
      </c>
      <c r="P55" s="353">
        <f t="shared" si="34"/>
        <v>0</v>
      </c>
      <c r="Q55" s="351">
        <f t="shared" si="35"/>
        <v>0</v>
      </c>
      <c r="R55" s="352">
        <f t="shared" si="43"/>
        <v>0</v>
      </c>
      <c r="S55" s="353">
        <f t="shared" si="36"/>
        <v>0</v>
      </c>
      <c r="T55" s="351">
        <f t="shared" si="37"/>
        <v>0</v>
      </c>
      <c r="U55" s="354">
        <f t="shared" si="38"/>
        <v>0</v>
      </c>
      <c r="V55" s="328">
        <f t="shared" si="39"/>
        <v>0</v>
      </c>
      <c r="W55" s="328">
        <f t="shared" si="45"/>
        <v>0</v>
      </c>
      <c r="X55" s="355">
        <f t="shared" si="40"/>
        <v>0</v>
      </c>
      <c r="Y55" s="450" t="e">
        <f t="shared" si="28"/>
        <v>#VALUE!</v>
      </c>
      <c r="Z55" s="451">
        <f t="shared" si="29"/>
        <v>0</v>
      </c>
      <c r="AA55" s="451">
        <f t="shared" si="30"/>
        <v>0</v>
      </c>
      <c r="AB55" s="451">
        <f t="shared" si="31"/>
        <v>0</v>
      </c>
      <c r="AC55" s="450" t="e">
        <f t="shared" si="41"/>
        <v>#VALUE!</v>
      </c>
      <c r="AD55" s="450"/>
      <c r="AE55" s="450"/>
      <c r="AF55" s="450"/>
      <c r="AG55" s="450"/>
      <c r="AH55" s="356">
        <v>0</v>
      </c>
      <c r="AI55" s="334">
        <v>36</v>
      </c>
      <c r="AJ55" s="334" t="s">
        <v>1304</v>
      </c>
      <c r="AK55" s="334"/>
      <c r="AL55" s="334"/>
      <c r="AM55" s="334"/>
      <c r="AN55" s="334"/>
      <c r="AO55" s="334"/>
      <c r="AP55" s="334"/>
      <c r="AQ55" s="382" t="s">
        <v>70</v>
      </c>
      <c r="AR55" s="335"/>
      <c r="AS55" s="335"/>
      <c r="AT55" s="335"/>
      <c r="AU55" s="331"/>
      <c r="AV55" s="357"/>
      <c r="AW55" s="357"/>
      <c r="AX55" s="357"/>
      <c r="AY55" s="357"/>
      <c r="AZ55" s="357"/>
      <c r="BA55" s="357"/>
      <c r="BB55" s="357"/>
      <c r="BC55" s="357"/>
      <c r="BD55" s="357"/>
      <c r="BE55" s="357"/>
      <c r="BF55" s="357"/>
      <c r="BG55" s="357"/>
      <c r="BH55" s="358"/>
      <c r="BI55" s="357"/>
      <c r="BJ55" s="357"/>
      <c r="BK55" s="357"/>
      <c r="BL55" s="357"/>
      <c r="BM55" s="357"/>
      <c r="BN55" s="357"/>
      <c r="BO55" s="357"/>
      <c r="BP55" s="357"/>
      <c r="BQ55" s="357"/>
      <c r="BR55" s="357"/>
      <c r="BS55" s="357"/>
      <c r="BT55" s="357"/>
      <c r="BU55" s="357"/>
      <c r="BV55" s="357"/>
      <c r="BW55" s="357"/>
      <c r="BX55" s="357"/>
      <c r="BY55" s="357"/>
      <c r="BZ55" s="357"/>
      <c r="CA55" s="357"/>
      <c r="CB55" s="357"/>
      <c r="CC55" s="357"/>
      <c r="CD55" s="357"/>
      <c r="CE55" s="357"/>
      <c r="CF55" s="357"/>
      <c r="CG55" s="357"/>
      <c r="CH55" s="357"/>
      <c r="CI55" s="331"/>
      <c r="CJ55" s="331"/>
      <c r="CK55" s="331"/>
      <c r="CL55" s="331"/>
      <c r="CM55" s="331"/>
      <c r="CN55" s="331"/>
      <c r="CO55" s="331"/>
      <c r="CP55" s="331"/>
      <c r="CQ55" s="369"/>
      <c r="CR55" s="331"/>
      <c r="CS55" s="331"/>
      <c r="CT55" s="331"/>
      <c r="CU55" s="331"/>
      <c r="CV55" s="331"/>
      <c r="CW55" s="331"/>
      <c r="CX55" s="331"/>
      <c r="CY55" s="331"/>
      <c r="CZ55" s="331"/>
      <c r="DA55" s="331"/>
      <c r="DB55" s="331"/>
      <c r="DC55" s="331"/>
      <c r="DD55" s="331">
        <f t="shared" si="27"/>
        <v>0</v>
      </c>
      <c r="DE55" s="1"/>
      <c r="DF55" s="1"/>
      <c r="DG55" s="1"/>
      <c r="DH55" s="1"/>
      <c r="DI55" s="1"/>
      <c r="DJ55" s="1"/>
      <c r="DK55" s="1"/>
      <c r="DL55" s="1"/>
      <c r="DM55" s="1"/>
      <c r="DN55" s="1"/>
      <c r="DO55" s="1"/>
      <c r="DP55" s="1"/>
      <c r="DQ55" s="1"/>
    </row>
    <row r="56" spans="1:121" ht="48.75" thickBot="1" x14ac:dyDescent="0.25">
      <c r="A56" s="824"/>
      <c r="B56" s="824"/>
      <c r="C56" s="830"/>
      <c r="D56" s="331" t="s">
        <v>1458</v>
      </c>
      <c r="E56" s="331"/>
      <c r="F56" s="331" t="s">
        <v>1473</v>
      </c>
      <c r="G56" s="824"/>
      <c r="H56" s="824"/>
      <c r="I56" s="824"/>
      <c r="J56" s="827"/>
      <c r="K56" s="827"/>
      <c r="L56" s="349" t="s">
        <v>1492</v>
      </c>
      <c r="M56" s="350"/>
      <c r="N56" s="351">
        <f t="shared" si="32"/>
        <v>0</v>
      </c>
      <c r="O56" s="352">
        <f t="shared" si="33"/>
        <v>0</v>
      </c>
      <c r="P56" s="353">
        <f t="shared" si="34"/>
        <v>0</v>
      </c>
      <c r="Q56" s="351">
        <f t="shared" si="35"/>
        <v>0</v>
      </c>
      <c r="R56" s="352">
        <f t="shared" si="43"/>
        <v>0</v>
      </c>
      <c r="S56" s="353">
        <f t="shared" si="36"/>
        <v>0</v>
      </c>
      <c r="T56" s="351">
        <f t="shared" si="37"/>
        <v>0</v>
      </c>
      <c r="U56" s="354">
        <f t="shared" si="38"/>
        <v>0</v>
      </c>
      <c r="V56" s="328">
        <f t="shared" si="39"/>
        <v>0</v>
      </c>
      <c r="W56" s="328">
        <f t="shared" si="45"/>
        <v>0</v>
      </c>
      <c r="X56" s="355">
        <f t="shared" si="40"/>
        <v>0</v>
      </c>
      <c r="Y56" s="450" t="e">
        <f t="shared" si="28"/>
        <v>#VALUE!</v>
      </c>
      <c r="Z56" s="451">
        <f t="shared" si="29"/>
        <v>0</v>
      </c>
      <c r="AA56" s="451">
        <f t="shared" si="30"/>
        <v>0</v>
      </c>
      <c r="AB56" s="451">
        <f t="shared" si="31"/>
        <v>0</v>
      </c>
      <c r="AC56" s="450" t="e">
        <f t="shared" si="41"/>
        <v>#VALUE!</v>
      </c>
      <c r="AD56" s="450"/>
      <c r="AE56" s="450"/>
      <c r="AF56" s="450"/>
      <c r="AG56" s="450"/>
      <c r="AH56" s="356">
        <v>0</v>
      </c>
      <c r="AI56" s="334">
        <v>36</v>
      </c>
      <c r="AJ56" s="334" t="s">
        <v>1304</v>
      </c>
      <c r="AK56" s="334"/>
      <c r="AL56" s="334"/>
      <c r="AM56" s="334"/>
      <c r="AN56" s="334"/>
      <c r="AO56" s="334"/>
      <c r="AP56" s="334"/>
      <c r="AQ56" s="382" t="s">
        <v>70</v>
      </c>
      <c r="AR56" s="335"/>
      <c r="AS56" s="335"/>
      <c r="AT56" s="335"/>
      <c r="AU56" s="331"/>
      <c r="AV56" s="357"/>
      <c r="AW56" s="357"/>
      <c r="AX56" s="357"/>
      <c r="AY56" s="357"/>
      <c r="AZ56" s="357"/>
      <c r="BA56" s="357"/>
      <c r="BB56" s="357"/>
      <c r="BC56" s="357"/>
      <c r="BD56" s="357"/>
      <c r="BE56" s="357"/>
      <c r="BF56" s="357"/>
      <c r="BG56" s="357"/>
      <c r="BH56" s="358"/>
      <c r="BI56" s="357"/>
      <c r="BJ56" s="357"/>
      <c r="BK56" s="357"/>
      <c r="BL56" s="357"/>
      <c r="BM56" s="357"/>
      <c r="BN56" s="357"/>
      <c r="BO56" s="357"/>
      <c r="BP56" s="357"/>
      <c r="BQ56" s="357"/>
      <c r="BR56" s="357"/>
      <c r="BS56" s="357"/>
      <c r="BT56" s="357"/>
      <c r="BU56" s="357"/>
      <c r="BV56" s="357"/>
      <c r="BW56" s="357"/>
      <c r="BX56" s="357"/>
      <c r="BY56" s="357"/>
      <c r="BZ56" s="357"/>
      <c r="CA56" s="357"/>
      <c r="CB56" s="357"/>
      <c r="CC56" s="357"/>
      <c r="CD56" s="357"/>
      <c r="CE56" s="357"/>
      <c r="CF56" s="357"/>
      <c r="CG56" s="357"/>
      <c r="CH56" s="357"/>
      <c r="CI56" s="331"/>
      <c r="CJ56" s="331"/>
      <c r="CK56" s="331"/>
      <c r="CL56" s="331"/>
      <c r="CM56" s="331"/>
      <c r="CN56" s="331"/>
      <c r="CO56" s="331"/>
      <c r="CP56" s="331"/>
      <c r="CQ56" s="369"/>
      <c r="CR56" s="331"/>
      <c r="CS56" s="331"/>
      <c r="CT56" s="331"/>
      <c r="CU56" s="331"/>
      <c r="CV56" s="331"/>
      <c r="CW56" s="331"/>
      <c r="CX56" s="331"/>
      <c r="CY56" s="331"/>
      <c r="CZ56" s="331"/>
      <c r="DA56" s="331"/>
      <c r="DB56" s="331"/>
      <c r="DC56" s="331"/>
      <c r="DD56" s="331">
        <f t="shared" si="27"/>
        <v>0</v>
      </c>
      <c r="DE56" s="1"/>
      <c r="DF56" s="1"/>
      <c r="DG56" s="1"/>
      <c r="DH56" s="1"/>
      <c r="DI56" s="1"/>
      <c r="DJ56" s="1"/>
      <c r="DK56" s="1"/>
      <c r="DL56" s="1"/>
      <c r="DM56" s="1"/>
      <c r="DN56" s="1"/>
      <c r="DO56" s="1"/>
      <c r="DP56" s="1"/>
      <c r="DQ56" s="1"/>
    </row>
    <row r="57" spans="1:121" ht="48.75" thickBot="1" x14ac:dyDescent="0.25">
      <c r="A57" s="824"/>
      <c r="B57" s="824"/>
      <c r="C57" s="830"/>
      <c r="D57" s="331" t="s">
        <v>711</v>
      </c>
      <c r="E57" s="331"/>
      <c r="F57" s="331" t="s">
        <v>220</v>
      </c>
      <c r="G57" s="824"/>
      <c r="H57" s="824"/>
      <c r="I57" s="824"/>
      <c r="J57" s="827"/>
      <c r="K57" s="827"/>
      <c r="L57" s="349" t="s">
        <v>1492</v>
      </c>
      <c r="M57" s="350"/>
      <c r="N57" s="351">
        <f t="shared" si="32"/>
        <v>0</v>
      </c>
      <c r="O57" s="352">
        <f t="shared" si="33"/>
        <v>0</v>
      </c>
      <c r="P57" s="353">
        <f t="shared" si="34"/>
        <v>0</v>
      </c>
      <c r="Q57" s="351">
        <f t="shared" si="35"/>
        <v>0</v>
      </c>
      <c r="R57" s="352">
        <f t="shared" si="43"/>
        <v>0</v>
      </c>
      <c r="S57" s="353">
        <f t="shared" si="36"/>
        <v>0</v>
      </c>
      <c r="T57" s="351">
        <f t="shared" si="37"/>
        <v>0</v>
      </c>
      <c r="U57" s="354">
        <f t="shared" si="38"/>
        <v>0</v>
      </c>
      <c r="V57" s="328">
        <f t="shared" si="39"/>
        <v>0</v>
      </c>
      <c r="W57" s="328">
        <f t="shared" si="45"/>
        <v>0</v>
      </c>
      <c r="X57" s="355">
        <f t="shared" si="40"/>
        <v>0</v>
      </c>
      <c r="Y57" s="450" t="e">
        <f t="shared" si="28"/>
        <v>#VALUE!</v>
      </c>
      <c r="Z57" s="451">
        <f t="shared" si="29"/>
        <v>0</v>
      </c>
      <c r="AA57" s="451">
        <f t="shared" si="30"/>
        <v>0</v>
      </c>
      <c r="AB57" s="451">
        <f t="shared" si="31"/>
        <v>0</v>
      </c>
      <c r="AC57" s="450" t="e">
        <f t="shared" si="41"/>
        <v>#VALUE!</v>
      </c>
      <c r="AD57" s="450"/>
      <c r="AE57" s="450"/>
      <c r="AF57" s="450"/>
      <c r="AG57" s="450"/>
      <c r="AH57" s="356">
        <v>0</v>
      </c>
      <c r="AI57" s="334">
        <v>36</v>
      </c>
      <c r="AJ57" s="334" t="s">
        <v>1304</v>
      </c>
      <c r="AK57" s="334"/>
      <c r="AL57" s="334"/>
      <c r="AM57" s="334"/>
      <c r="AN57" s="334"/>
      <c r="AO57" s="334"/>
      <c r="AP57" s="334"/>
      <c r="AQ57" s="382" t="s">
        <v>70</v>
      </c>
      <c r="AR57" s="335"/>
      <c r="AS57" s="335"/>
      <c r="AT57" s="335"/>
      <c r="AU57" s="331"/>
      <c r="AV57" s="357"/>
      <c r="AW57" s="357"/>
      <c r="AX57" s="357"/>
      <c r="AY57" s="357"/>
      <c r="AZ57" s="357"/>
      <c r="BA57" s="357"/>
      <c r="BB57" s="357"/>
      <c r="BC57" s="357"/>
      <c r="BD57" s="357"/>
      <c r="BE57" s="357"/>
      <c r="BF57" s="357"/>
      <c r="BG57" s="357"/>
      <c r="BH57" s="358"/>
      <c r="BI57" s="357"/>
      <c r="BJ57" s="357"/>
      <c r="BK57" s="357"/>
      <c r="BL57" s="357"/>
      <c r="BM57" s="357"/>
      <c r="BN57" s="357"/>
      <c r="BO57" s="357"/>
      <c r="BP57" s="357"/>
      <c r="BQ57" s="357"/>
      <c r="BR57" s="357"/>
      <c r="BS57" s="357"/>
      <c r="BT57" s="357"/>
      <c r="BU57" s="357"/>
      <c r="BV57" s="357"/>
      <c r="BW57" s="357"/>
      <c r="BX57" s="357"/>
      <c r="BY57" s="357"/>
      <c r="BZ57" s="357"/>
      <c r="CA57" s="357"/>
      <c r="CB57" s="357"/>
      <c r="CC57" s="357"/>
      <c r="CD57" s="357"/>
      <c r="CE57" s="357"/>
      <c r="CF57" s="357"/>
      <c r="CG57" s="357"/>
      <c r="CH57" s="357"/>
      <c r="CI57" s="331"/>
      <c r="CJ57" s="331"/>
      <c r="CK57" s="331"/>
      <c r="CL57" s="331"/>
      <c r="CM57" s="331"/>
      <c r="CN57" s="331"/>
      <c r="CO57" s="331"/>
      <c r="CP57" s="331"/>
      <c r="CQ57" s="369"/>
      <c r="CR57" s="331"/>
      <c r="CS57" s="331"/>
      <c r="CT57" s="331"/>
      <c r="CU57" s="331"/>
      <c r="CV57" s="331"/>
      <c r="CW57" s="331"/>
      <c r="CX57" s="331"/>
      <c r="CY57" s="331"/>
      <c r="CZ57" s="331"/>
      <c r="DA57" s="331"/>
      <c r="DB57" s="331"/>
      <c r="DC57" s="331"/>
      <c r="DD57" s="331">
        <f t="shared" si="27"/>
        <v>0</v>
      </c>
      <c r="DE57" s="1"/>
      <c r="DF57" s="1"/>
      <c r="DG57" s="1"/>
      <c r="DH57" s="1"/>
      <c r="DI57" s="1"/>
      <c r="DJ57" s="1"/>
      <c r="DK57" s="1"/>
      <c r="DL57" s="1"/>
      <c r="DM57" s="1"/>
      <c r="DN57" s="1"/>
      <c r="DO57" s="1"/>
      <c r="DP57" s="1"/>
      <c r="DQ57" s="1"/>
    </row>
    <row r="58" spans="1:121" ht="48.75" thickBot="1" x14ac:dyDescent="0.25">
      <c r="A58" s="824"/>
      <c r="B58" s="824"/>
      <c r="C58" s="830"/>
      <c r="D58" s="331" t="s">
        <v>1459</v>
      </c>
      <c r="E58" s="331"/>
      <c r="F58" s="360" t="s">
        <v>1481</v>
      </c>
      <c r="G58" s="824"/>
      <c r="H58" s="824"/>
      <c r="I58" s="824"/>
      <c r="J58" s="827"/>
      <c r="K58" s="827"/>
      <c r="L58" s="349" t="s">
        <v>1492</v>
      </c>
      <c r="M58" s="350"/>
      <c r="N58" s="351">
        <f t="shared" si="32"/>
        <v>0</v>
      </c>
      <c r="O58" s="352">
        <f t="shared" si="33"/>
        <v>0</v>
      </c>
      <c r="P58" s="353">
        <f t="shared" si="34"/>
        <v>0</v>
      </c>
      <c r="Q58" s="351">
        <f t="shared" si="35"/>
        <v>0</v>
      </c>
      <c r="R58" s="352">
        <f t="shared" si="43"/>
        <v>0</v>
      </c>
      <c r="S58" s="353">
        <f t="shared" si="36"/>
        <v>0</v>
      </c>
      <c r="T58" s="351">
        <f t="shared" si="37"/>
        <v>0</v>
      </c>
      <c r="U58" s="354">
        <f t="shared" si="38"/>
        <v>0</v>
      </c>
      <c r="V58" s="328">
        <f t="shared" si="39"/>
        <v>0</v>
      </c>
      <c r="W58" s="328">
        <f t="shared" si="45"/>
        <v>0</v>
      </c>
      <c r="X58" s="355">
        <f t="shared" si="40"/>
        <v>0</v>
      </c>
      <c r="Y58" s="450" t="e">
        <f t="shared" si="28"/>
        <v>#VALUE!</v>
      </c>
      <c r="Z58" s="451">
        <f t="shared" si="29"/>
        <v>0</v>
      </c>
      <c r="AA58" s="451">
        <f t="shared" si="30"/>
        <v>0</v>
      </c>
      <c r="AB58" s="451">
        <f t="shared" si="31"/>
        <v>0</v>
      </c>
      <c r="AC58" s="450" t="e">
        <f t="shared" si="41"/>
        <v>#VALUE!</v>
      </c>
      <c r="AD58" s="450"/>
      <c r="AE58" s="450"/>
      <c r="AF58" s="450"/>
      <c r="AG58" s="450"/>
      <c r="AH58" s="356">
        <v>0</v>
      </c>
      <c r="AI58" s="334">
        <v>36</v>
      </c>
      <c r="AJ58" s="334" t="s">
        <v>1304</v>
      </c>
      <c r="AK58" s="334"/>
      <c r="AL58" s="334"/>
      <c r="AM58" s="334"/>
      <c r="AN58" s="334"/>
      <c r="AO58" s="334"/>
      <c r="AP58" s="334"/>
      <c r="AQ58" s="382" t="s">
        <v>70</v>
      </c>
      <c r="AR58" s="335"/>
      <c r="AS58" s="335"/>
      <c r="AT58" s="335"/>
      <c r="AU58" s="331"/>
      <c r="AV58" s="357"/>
      <c r="AW58" s="357"/>
      <c r="AX58" s="357"/>
      <c r="AY58" s="357"/>
      <c r="AZ58" s="357"/>
      <c r="BA58" s="357"/>
      <c r="BB58" s="357"/>
      <c r="BC58" s="357"/>
      <c r="BD58" s="357"/>
      <c r="BE58" s="357"/>
      <c r="BF58" s="357"/>
      <c r="BG58" s="357"/>
      <c r="BH58" s="358"/>
      <c r="BI58" s="357"/>
      <c r="BJ58" s="357"/>
      <c r="BK58" s="357"/>
      <c r="BL58" s="357"/>
      <c r="BM58" s="357"/>
      <c r="BN58" s="357"/>
      <c r="BO58" s="357"/>
      <c r="BP58" s="357"/>
      <c r="BQ58" s="357"/>
      <c r="BR58" s="357"/>
      <c r="BS58" s="357"/>
      <c r="BT58" s="357"/>
      <c r="BU58" s="357"/>
      <c r="BV58" s="357"/>
      <c r="BW58" s="357"/>
      <c r="BX58" s="357"/>
      <c r="BY58" s="357"/>
      <c r="BZ58" s="357"/>
      <c r="CA58" s="357"/>
      <c r="CB58" s="357"/>
      <c r="CC58" s="357"/>
      <c r="CD58" s="357"/>
      <c r="CE58" s="357"/>
      <c r="CF58" s="357"/>
      <c r="CG58" s="357"/>
      <c r="CH58" s="357"/>
      <c r="CI58" s="331"/>
      <c r="CJ58" s="331"/>
      <c r="CK58" s="331"/>
      <c r="CL58" s="331"/>
      <c r="CM58" s="331"/>
      <c r="CN58" s="331"/>
      <c r="CO58" s="331"/>
      <c r="CP58" s="331"/>
      <c r="CQ58" s="369"/>
      <c r="CR58" s="331"/>
      <c r="CS58" s="331"/>
      <c r="CT58" s="331"/>
      <c r="CU58" s="331"/>
      <c r="CV58" s="331"/>
      <c r="CW58" s="331"/>
      <c r="CX58" s="331"/>
      <c r="CY58" s="331"/>
      <c r="CZ58" s="331"/>
      <c r="DA58" s="331"/>
      <c r="DB58" s="331"/>
      <c r="DC58" s="331"/>
      <c r="DD58" s="331">
        <f t="shared" si="27"/>
        <v>0</v>
      </c>
      <c r="DE58" s="1"/>
      <c r="DF58" s="1"/>
      <c r="DG58" s="1"/>
      <c r="DH58" s="1"/>
      <c r="DI58" s="1"/>
      <c r="DJ58" s="1"/>
      <c r="DK58" s="1"/>
      <c r="DL58" s="1"/>
      <c r="DM58" s="1"/>
      <c r="DN58" s="1"/>
      <c r="DO58" s="1"/>
      <c r="DP58" s="1"/>
      <c r="DQ58" s="1"/>
    </row>
    <row r="59" spans="1:121" ht="48.75" thickBot="1" x14ac:dyDescent="0.25">
      <c r="A59" s="824"/>
      <c r="B59" s="824"/>
      <c r="C59" s="830"/>
      <c r="D59" s="331" t="s">
        <v>1460</v>
      </c>
      <c r="E59" s="331"/>
      <c r="F59" s="331" t="s">
        <v>1477</v>
      </c>
      <c r="G59" s="824"/>
      <c r="H59" s="824"/>
      <c r="I59" s="824"/>
      <c r="J59" s="827"/>
      <c r="K59" s="827"/>
      <c r="L59" s="349" t="s">
        <v>1492</v>
      </c>
      <c r="M59" s="350"/>
      <c r="N59" s="351">
        <f t="shared" si="32"/>
        <v>0</v>
      </c>
      <c r="O59" s="352">
        <f t="shared" si="33"/>
        <v>0</v>
      </c>
      <c r="P59" s="353">
        <f t="shared" si="34"/>
        <v>0</v>
      </c>
      <c r="Q59" s="351">
        <f t="shared" si="35"/>
        <v>0</v>
      </c>
      <c r="R59" s="352">
        <f t="shared" si="43"/>
        <v>0</v>
      </c>
      <c r="S59" s="353">
        <f t="shared" si="36"/>
        <v>0</v>
      </c>
      <c r="T59" s="351">
        <f t="shared" si="37"/>
        <v>0</v>
      </c>
      <c r="U59" s="354">
        <f t="shared" si="38"/>
        <v>0</v>
      </c>
      <c r="V59" s="328">
        <f t="shared" si="39"/>
        <v>0</v>
      </c>
      <c r="W59" s="328">
        <f t="shared" si="45"/>
        <v>0</v>
      </c>
      <c r="X59" s="355">
        <f t="shared" si="40"/>
        <v>0</v>
      </c>
      <c r="Y59" s="450" t="e">
        <f t="shared" si="28"/>
        <v>#VALUE!</v>
      </c>
      <c r="Z59" s="451">
        <f t="shared" si="29"/>
        <v>0</v>
      </c>
      <c r="AA59" s="451">
        <f t="shared" si="30"/>
        <v>0</v>
      </c>
      <c r="AB59" s="451">
        <f t="shared" si="31"/>
        <v>0</v>
      </c>
      <c r="AC59" s="450" t="e">
        <f t="shared" si="41"/>
        <v>#VALUE!</v>
      </c>
      <c r="AD59" s="450"/>
      <c r="AE59" s="450"/>
      <c r="AF59" s="450"/>
      <c r="AG59" s="450"/>
      <c r="AH59" s="356">
        <v>0</v>
      </c>
      <c r="AI59" s="334">
        <v>36</v>
      </c>
      <c r="AJ59" s="334" t="s">
        <v>1304</v>
      </c>
      <c r="AK59" s="334"/>
      <c r="AL59" s="334"/>
      <c r="AM59" s="334"/>
      <c r="AN59" s="334"/>
      <c r="AO59" s="334"/>
      <c r="AP59" s="334"/>
      <c r="AQ59" s="382" t="s">
        <v>70</v>
      </c>
      <c r="AR59" s="335"/>
      <c r="AS59" s="335"/>
      <c r="AT59" s="335"/>
      <c r="AU59" s="331"/>
      <c r="AV59" s="357"/>
      <c r="AW59" s="357"/>
      <c r="AX59" s="357"/>
      <c r="AY59" s="357"/>
      <c r="AZ59" s="357"/>
      <c r="BA59" s="357"/>
      <c r="BB59" s="357"/>
      <c r="BC59" s="357"/>
      <c r="BD59" s="357"/>
      <c r="BE59" s="357"/>
      <c r="BF59" s="357"/>
      <c r="BG59" s="357"/>
      <c r="BH59" s="358"/>
      <c r="BI59" s="357"/>
      <c r="BJ59" s="357"/>
      <c r="BK59" s="357"/>
      <c r="BL59" s="357"/>
      <c r="BM59" s="357"/>
      <c r="BN59" s="357"/>
      <c r="BO59" s="357"/>
      <c r="BP59" s="357"/>
      <c r="BQ59" s="357"/>
      <c r="BR59" s="357"/>
      <c r="BS59" s="357"/>
      <c r="BT59" s="357"/>
      <c r="BU59" s="357"/>
      <c r="BV59" s="357"/>
      <c r="BW59" s="357"/>
      <c r="BX59" s="357"/>
      <c r="BY59" s="357"/>
      <c r="BZ59" s="357"/>
      <c r="CA59" s="357"/>
      <c r="CB59" s="357"/>
      <c r="CC59" s="357"/>
      <c r="CD59" s="357"/>
      <c r="CE59" s="357"/>
      <c r="CF59" s="357"/>
      <c r="CG59" s="357"/>
      <c r="CH59" s="357"/>
      <c r="CI59" s="331"/>
      <c r="CJ59" s="331"/>
      <c r="CK59" s="331"/>
      <c r="CL59" s="331"/>
      <c r="CM59" s="331"/>
      <c r="CN59" s="331"/>
      <c r="CO59" s="331"/>
      <c r="CP59" s="331"/>
      <c r="CQ59" s="369"/>
      <c r="CR59" s="331"/>
      <c r="CS59" s="331"/>
      <c r="CT59" s="331"/>
      <c r="CU59" s="331"/>
      <c r="CV59" s="331"/>
      <c r="CW59" s="331"/>
      <c r="CX59" s="331"/>
      <c r="CY59" s="331"/>
      <c r="CZ59" s="331"/>
      <c r="DA59" s="331"/>
      <c r="DB59" s="331"/>
      <c r="DC59" s="331"/>
      <c r="DD59" s="331">
        <f t="shared" si="27"/>
        <v>0</v>
      </c>
      <c r="DE59" s="1"/>
      <c r="DF59" s="1"/>
      <c r="DG59" s="1"/>
      <c r="DH59" s="1"/>
      <c r="DI59" s="1"/>
      <c r="DJ59" s="1"/>
      <c r="DK59" s="1"/>
      <c r="DL59" s="1"/>
      <c r="DM59" s="1"/>
      <c r="DN59" s="1"/>
      <c r="DO59" s="1"/>
      <c r="DP59" s="1"/>
      <c r="DQ59" s="1"/>
    </row>
    <row r="60" spans="1:121" ht="48.75" thickBot="1" x14ac:dyDescent="0.25">
      <c r="A60" s="824"/>
      <c r="B60" s="824"/>
      <c r="C60" s="830"/>
      <c r="D60" s="331" t="s">
        <v>1461</v>
      </c>
      <c r="E60" s="331"/>
      <c r="F60" s="331" t="s">
        <v>1485</v>
      </c>
      <c r="G60" s="824"/>
      <c r="H60" s="824"/>
      <c r="I60" s="824"/>
      <c r="J60" s="827"/>
      <c r="K60" s="827"/>
      <c r="L60" s="349" t="s">
        <v>1492</v>
      </c>
      <c r="M60" s="350"/>
      <c r="N60" s="351">
        <f t="shared" si="32"/>
        <v>0</v>
      </c>
      <c r="O60" s="352">
        <f t="shared" si="33"/>
        <v>0</v>
      </c>
      <c r="P60" s="353">
        <f t="shared" si="34"/>
        <v>0</v>
      </c>
      <c r="Q60" s="351">
        <f t="shared" si="35"/>
        <v>0</v>
      </c>
      <c r="R60" s="352">
        <f t="shared" si="43"/>
        <v>0</v>
      </c>
      <c r="S60" s="353">
        <f t="shared" si="36"/>
        <v>0</v>
      </c>
      <c r="T60" s="351">
        <f t="shared" si="37"/>
        <v>0</v>
      </c>
      <c r="U60" s="354">
        <f t="shared" si="38"/>
        <v>0</v>
      </c>
      <c r="V60" s="328">
        <f t="shared" si="39"/>
        <v>0</v>
      </c>
      <c r="W60" s="328">
        <f t="shared" si="45"/>
        <v>0</v>
      </c>
      <c r="X60" s="355">
        <f t="shared" si="40"/>
        <v>0</v>
      </c>
      <c r="Y60" s="450" t="e">
        <f t="shared" si="28"/>
        <v>#VALUE!</v>
      </c>
      <c r="Z60" s="451">
        <f t="shared" si="29"/>
        <v>0</v>
      </c>
      <c r="AA60" s="451">
        <f t="shared" si="30"/>
        <v>0</v>
      </c>
      <c r="AB60" s="451">
        <f t="shared" si="31"/>
        <v>0</v>
      </c>
      <c r="AC60" s="450" t="e">
        <f t="shared" si="41"/>
        <v>#VALUE!</v>
      </c>
      <c r="AD60" s="450"/>
      <c r="AE60" s="450"/>
      <c r="AF60" s="450"/>
      <c r="AG60" s="450"/>
      <c r="AH60" s="356">
        <v>0</v>
      </c>
      <c r="AI60" s="334">
        <v>36</v>
      </c>
      <c r="AJ60" s="334" t="s">
        <v>1304</v>
      </c>
      <c r="AK60" s="334"/>
      <c r="AL60" s="334"/>
      <c r="AM60" s="334"/>
      <c r="AN60" s="334"/>
      <c r="AO60" s="334"/>
      <c r="AP60" s="334"/>
      <c r="AQ60" s="382" t="s">
        <v>70</v>
      </c>
      <c r="AR60" s="335"/>
      <c r="AS60" s="335"/>
      <c r="AT60" s="335"/>
      <c r="AU60" s="331"/>
      <c r="AV60" s="357"/>
      <c r="AW60" s="357"/>
      <c r="AX60" s="357"/>
      <c r="AY60" s="357"/>
      <c r="AZ60" s="357"/>
      <c r="BA60" s="357"/>
      <c r="BB60" s="357"/>
      <c r="BC60" s="357"/>
      <c r="BD60" s="357"/>
      <c r="BE60" s="357"/>
      <c r="BF60" s="357"/>
      <c r="BG60" s="357"/>
      <c r="BH60" s="358"/>
      <c r="BI60" s="357"/>
      <c r="BJ60" s="357"/>
      <c r="BK60" s="357"/>
      <c r="BL60" s="357"/>
      <c r="BM60" s="357"/>
      <c r="BN60" s="357"/>
      <c r="BO60" s="357"/>
      <c r="BP60" s="357"/>
      <c r="BQ60" s="357"/>
      <c r="BR60" s="357"/>
      <c r="BS60" s="357"/>
      <c r="BT60" s="357"/>
      <c r="BU60" s="357"/>
      <c r="BV60" s="357"/>
      <c r="BW60" s="357"/>
      <c r="BX60" s="357"/>
      <c r="BY60" s="357"/>
      <c r="BZ60" s="357"/>
      <c r="CA60" s="357"/>
      <c r="CB60" s="357"/>
      <c r="CC60" s="357"/>
      <c r="CD60" s="357"/>
      <c r="CE60" s="357"/>
      <c r="CF60" s="357"/>
      <c r="CG60" s="357"/>
      <c r="CH60" s="357"/>
      <c r="CI60" s="331"/>
      <c r="CJ60" s="331"/>
      <c r="CK60" s="331"/>
      <c r="CL60" s="331"/>
      <c r="CM60" s="331"/>
      <c r="CN60" s="331"/>
      <c r="CO60" s="331"/>
      <c r="CP60" s="331"/>
      <c r="CQ60" s="369"/>
      <c r="CR60" s="331"/>
      <c r="CS60" s="331"/>
      <c r="CT60" s="331"/>
      <c r="CU60" s="331"/>
      <c r="CV60" s="331"/>
      <c r="CW60" s="331"/>
      <c r="CX60" s="331"/>
      <c r="CY60" s="331"/>
      <c r="CZ60" s="331"/>
      <c r="DA60" s="331"/>
      <c r="DB60" s="331"/>
      <c r="DC60" s="331"/>
      <c r="DD60" s="331">
        <f t="shared" si="27"/>
        <v>0</v>
      </c>
      <c r="DE60" s="1"/>
      <c r="DF60" s="1"/>
      <c r="DG60" s="1"/>
      <c r="DH60" s="1"/>
      <c r="DI60" s="1"/>
      <c r="DJ60" s="1"/>
      <c r="DK60" s="1"/>
      <c r="DL60" s="1"/>
      <c r="DM60" s="1"/>
      <c r="DN60" s="1"/>
      <c r="DO60" s="1"/>
      <c r="DP60" s="1"/>
      <c r="DQ60" s="1"/>
    </row>
    <row r="61" spans="1:121" ht="48.75" thickBot="1" x14ac:dyDescent="0.25">
      <c r="A61" s="824"/>
      <c r="B61" s="824"/>
      <c r="C61" s="830"/>
      <c r="D61" s="331" t="s">
        <v>1462</v>
      </c>
      <c r="E61" s="331"/>
      <c r="F61" s="331" t="s">
        <v>1488</v>
      </c>
      <c r="G61" s="824"/>
      <c r="H61" s="824"/>
      <c r="I61" s="824"/>
      <c r="J61" s="827"/>
      <c r="K61" s="827"/>
      <c r="L61" s="349" t="s">
        <v>1492</v>
      </c>
      <c r="M61" s="350"/>
      <c r="N61" s="351">
        <f t="shared" si="32"/>
        <v>0</v>
      </c>
      <c r="O61" s="352">
        <f t="shared" si="33"/>
        <v>0</v>
      </c>
      <c r="P61" s="353">
        <f t="shared" si="34"/>
        <v>0</v>
      </c>
      <c r="Q61" s="351">
        <f t="shared" si="35"/>
        <v>0</v>
      </c>
      <c r="R61" s="352">
        <f t="shared" si="43"/>
        <v>0</v>
      </c>
      <c r="S61" s="353">
        <f t="shared" si="36"/>
        <v>0</v>
      </c>
      <c r="T61" s="351">
        <f t="shared" si="37"/>
        <v>0</v>
      </c>
      <c r="U61" s="354">
        <f t="shared" si="38"/>
        <v>0</v>
      </c>
      <c r="V61" s="328">
        <f t="shared" si="39"/>
        <v>0</v>
      </c>
      <c r="W61" s="328">
        <f t="shared" si="45"/>
        <v>0</v>
      </c>
      <c r="X61" s="355">
        <f t="shared" si="40"/>
        <v>0</v>
      </c>
      <c r="Y61" s="450" t="e">
        <f t="shared" si="28"/>
        <v>#VALUE!</v>
      </c>
      <c r="Z61" s="451">
        <f t="shared" si="29"/>
        <v>0</v>
      </c>
      <c r="AA61" s="451">
        <f t="shared" si="30"/>
        <v>0</v>
      </c>
      <c r="AB61" s="451">
        <f t="shared" si="31"/>
        <v>0</v>
      </c>
      <c r="AC61" s="450" t="e">
        <f t="shared" si="41"/>
        <v>#VALUE!</v>
      </c>
      <c r="AD61" s="450"/>
      <c r="AE61" s="450"/>
      <c r="AF61" s="450"/>
      <c r="AG61" s="450"/>
      <c r="AH61" s="356">
        <v>0</v>
      </c>
      <c r="AI61" s="334">
        <v>36</v>
      </c>
      <c r="AJ61" s="334" t="s">
        <v>1304</v>
      </c>
      <c r="AK61" s="334"/>
      <c r="AL61" s="334"/>
      <c r="AM61" s="334"/>
      <c r="AN61" s="334"/>
      <c r="AO61" s="334"/>
      <c r="AP61" s="334"/>
      <c r="AQ61" s="382" t="s">
        <v>70</v>
      </c>
      <c r="AR61" s="335"/>
      <c r="AS61" s="335"/>
      <c r="AT61" s="335"/>
      <c r="AU61" s="331"/>
      <c r="AV61" s="357"/>
      <c r="AW61" s="357"/>
      <c r="AX61" s="357"/>
      <c r="AY61" s="357"/>
      <c r="AZ61" s="357"/>
      <c r="BA61" s="357"/>
      <c r="BB61" s="357"/>
      <c r="BC61" s="357"/>
      <c r="BD61" s="357"/>
      <c r="BE61" s="357"/>
      <c r="BF61" s="357"/>
      <c r="BG61" s="357"/>
      <c r="BH61" s="358"/>
      <c r="BI61" s="357"/>
      <c r="BJ61" s="357"/>
      <c r="BK61" s="357"/>
      <c r="BL61" s="357"/>
      <c r="BM61" s="357"/>
      <c r="BN61" s="357"/>
      <c r="BO61" s="357"/>
      <c r="BP61" s="357"/>
      <c r="BQ61" s="357"/>
      <c r="BR61" s="357"/>
      <c r="BS61" s="357"/>
      <c r="BT61" s="357"/>
      <c r="BU61" s="357"/>
      <c r="BV61" s="357"/>
      <c r="BW61" s="357"/>
      <c r="BX61" s="357"/>
      <c r="BY61" s="357"/>
      <c r="BZ61" s="357"/>
      <c r="CA61" s="357"/>
      <c r="CB61" s="357"/>
      <c r="CC61" s="357"/>
      <c r="CD61" s="357"/>
      <c r="CE61" s="357"/>
      <c r="CF61" s="357"/>
      <c r="CG61" s="357"/>
      <c r="CH61" s="357"/>
      <c r="CI61" s="331"/>
      <c r="CJ61" s="331"/>
      <c r="CK61" s="331"/>
      <c r="CL61" s="331"/>
      <c r="CM61" s="331"/>
      <c r="CN61" s="331"/>
      <c r="CO61" s="331"/>
      <c r="CP61" s="331"/>
      <c r="CQ61" s="369"/>
      <c r="CR61" s="331"/>
      <c r="CS61" s="331"/>
      <c r="CT61" s="331"/>
      <c r="CU61" s="331"/>
      <c r="CV61" s="331"/>
      <c r="CW61" s="331"/>
      <c r="CX61" s="331"/>
      <c r="CY61" s="331"/>
      <c r="CZ61" s="331"/>
      <c r="DA61" s="331"/>
      <c r="DB61" s="331"/>
      <c r="DC61" s="331"/>
      <c r="DD61" s="331">
        <f t="shared" si="27"/>
        <v>0</v>
      </c>
      <c r="DE61" s="1"/>
      <c r="DF61" s="1"/>
      <c r="DG61" s="1"/>
      <c r="DH61" s="1"/>
      <c r="DI61" s="1"/>
      <c r="DJ61" s="1"/>
      <c r="DK61" s="1"/>
      <c r="DL61" s="1"/>
      <c r="DM61" s="1"/>
      <c r="DN61" s="1"/>
      <c r="DO61" s="1"/>
      <c r="DP61" s="1"/>
      <c r="DQ61" s="1"/>
    </row>
    <row r="62" spans="1:121" ht="48.75" thickBot="1" x14ac:dyDescent="0.25">
      <c r="A62" s="824"/>
      <c r="B62" s="824"/>
      <c r="C62" s="830"/>
      <c r="D62" s="331" t="s">
        <v>1463</v>
      </c>
      <c r="E62" s="331"/>
      <c r="F62" s="331" t="s">
        <v>1489</v>
      </c>
      <c r="G62" s="824"/>
      <c r="H62" s="824"/>
      <c r="I62" s="824"/>
      <c r="J62" s="827"/>
      <c r="K62" s="827"/>
      <c r="L62" s="349" t="s">
        <v>1492</v>
      </c>
      <c r="M62" s="350"/>
      <c r="N62" s="351">
        <f t="shared" si="32"/>
        <v>0</v>
      </c>
      <c r="O62" s="352">
        <f t="shared" si="33"/>
        <v>0</v>
      </c>
      <c r="P62" s="353">
        <f t="shared" si="34"/>
        <v>0</v>
      </c>
      <c r="Q62" s="351">
        <f t="shared" si="35"/>
        <v>0</v>
      </c>
      <c r="R62" s="352">
        <f t="shared" si="43"/>
        <v>0</v>
      </c>
      <c r="S62" s="353">
        <f t="shared" si="36"/>
        <v>0</v>
      </c>
      <c r="T62" s="351">
        <f t="shared" si="37"/>
        <v>0</v>
      </c>
      <c r="U62" s="354">
        <f t="shared" si="38"/>
        <v>0</v>
      </c>
      <c r="V62" s="328">
        <f t="shared" si="39"/>
        <v>0</v>
      </c>
      <c r="W62" s="328">
        <f t="shared" si="45"/>
        <v>0</v>
      </c>
      <c r="X62" s="355">
        <f t="shared" si="40"/>
        <v>0</v>
      </c>
      <c r="Y62" s="450" t="e">
        <f t="shared" si="28"/>
        <v>#VALUE!</v>
      </c>
      <c r="Z62" s="451">
        <f t="shared" si="29"/>
        <v>0</v>
      </c>
      <c r="AA62" s="451">
        <f t="shared" si="30"/>
        <v>0</v>
      </c>
      <c r="AB62" s="451">
        <f t="shared" si="31"/>
        <v>0</v>
      </c>
      <c r="AC62" s="450" t="e">
        <f t="shared" si="41"/>
        <v>#VALUE!</v>
      </c>
      <c r="AD62" s="450"/>
      <c r="AE62" s="450"/>
      <c r="AF62" s="450"/>
      <c r="AG62" s="450"/>
      <c r="AH62" s="356">
        <v>0</v>
      </c>
      <c r="AI62" s="334">
        <v>36</v>
      </c>
      <c r="AJ62" s="334" t="s">
        <v>1304</v>
      </c>
      <c r="AK62" s="334"/>
      <c r="AL62" s="334"/>
      <c r="AM62" s="334"/>
      <c r="AN62" s="334"/>
      <c r="AO62" s="334"/>
      <c r="AP62" s="334"/>
      <c r="AQ62" s="382" t="s">
        <v>70</v>
      </c>
      <c r="AR62" s="335"/>
      <c r="AS62" s="335"/>
      <c r="AT62" s="335"/>
      <c r="AU62" s="331"/>
      <c r="AV62" s="357"/>
      <c r="AW62" s="357"/>
      <c r="AX62" s="357"/>
      <c r="AY62" s="357"/>
      <c r="AZ62" s="357"/>
      <c r="BA62" s="357"/>
      <c r="BB62" s="357"/>
      <c r="BC62" s="357"/>
      <c r="BD62" s="357"/>
      <c r="BE62" s="357"/>
      <c r="BF62" s="357"/>
      <c r="BG62" s="357"/>
      <c r="BH62" s="358"/>
      <c r="BI62" s="357"/>
      <c r="BJ62" s="357"/>
      <c r="BK62" s="357"/>
      <c r="BL62" s="357"/>
      <c r="BM62" s="357"/>
      <c r="BN62" s="357"/>
      <c r="BO62" s="357"/>
      <c r="BP62" s="357"/>
      <c r="BQ62" s="357"/>
      <c r="BR62" s="357"/>
      <c r="BS62" s="357"/>
      <c r="BT62" s="357"/>
      <c r="BU62" s="357"/>
      <c r="BV62" s="357"/>
      <c r="BW62" s="357"/>
      <c r="BX62" s="357"/>
      <c r="BY62" s="357"/>
      <c r="BZ62" s="357"/>
      <c r="CA62" s="357"/>
      <c r="CB62" s="357"/>
      <c r="CC62" s="357"/>
      <c r="CD62" s="357"/>
      <c r="CE62" s="357"/>
      <c r="CF62" s="357"/>
      <c r="CG62" s="357"/>
      <c r="CH62" s="357"/>
      <c r="CI62" s="331"/>
      <c r="CJ62" s="331"/>
      <c r="CK62" s="331"/>
      <c r="CL62" s="331"/>
      <c r="CM62" s="331"/>
      <c r="CN62" s="331"/>
      <c r="CO62" s="331"/>
      <c r="CP62" s="331"/>
      <c r="CQ62" s="369"/>
      <c r="CR62" s="331"/>
      <c r="CS62" s="331"/>
      <c r="CT62" s="331"/>
      <c r="CU62" s="331"/>
      <c r="CV62" s="331"/>
      <c r="CW62" s="331"/>
      <c r="CX62" s="331"/>
      <c r="CY62" s="331"/>
      <c r="CZ62" s="331"/>
      <c r="DA62" s="331"/>
      <c r="DB62" s="331"/>
      <c r="DC62" s="331"/>
      <c r="DD62" s="331">
        <f t="shared" si="27"/>
        <v>0</v>
      </c>
      <c r="DE62" s="1"/>
      <c r="DF62" s="1"/>
      <c r="DG62" s="1"/>
      <c r="DH62" s="1"/>
      <c r="DI62" s="1"/>
      <c r="DJ62" s="1"/>
      <c r="DK62" s="1"/>
      <c r="DL62" s="1"/>
      <c r="DM62" s="1"/>
      <c r="DN62" s="1"/>
      <c r="DO62" s="1"/>
      <c r="DP62" s="1"/>
      <c r="DQ62" s="1"/>
    </row>
    <row r="63" spans="1:121" ht="48.75" thickBot="1" x14ac:dyDescent="0.25">
      <c r="A63" s="824"/>
      <c r="B63" s="824"/>
      <c r="C63" s="830"/>
      <c r="D63" s="331" t="s">
        <v>1464</v>
      </c>
      <c r="E63" s="331"/>
      <c r="F63" s="331" t="s">
        <v>1490</v>
      </c>
      <c r="G63" s="824"/>
      <c r="H63" s="824"/>
      <c r="I63" s="824"/>
      <c r="J63" s="827"/>
      <c r="K63" s="827"/>
      <c r="L63" s="349" t="s">
        <v>1492</v>
      </c>
      <c r="M63" s="350"/>
      <c r="N63" s="351">
        <f t="shared" si="32"/>
        <v>0</v>
      </c>
      <c r="O63" s="352">
        <f t="shared" si="33"/>
        <v>0</v>
      </c>
      <c r="P63" s="353">
        <f t="shared" si="34"/>
        <v>0</v>
      </c>
      <c r="Q63" s="351">
        <f t="shared" si="35"/>
        <v>0</v>
      </c>
      <c r="R63" s="352">
        <f t="shared" si="43"/>
        <v>0</v>
      </c>
      <c r="S63" s="353">
        <f t="shared" si="36"/>
        <v>0</v>
      </c>
      <c r="T63" s="351">
        <f t="shared" si="37"/>
        <v>0</v>
      </c>
      <c r="U63" s="354">
        <f t="shared" si="38"/>
        <v>0</v>
      </c>
      <c r="V63" s="328">
        <f t="shared" si="39"/>
        <v>0</v>
      </c>
      <c r="W63" s="328">
        <f t="shared" si="45"/>
        <v>0</v>
      </c>
      <c r="X63" s="355">
        <f t="shared" si="40"/>
        <v>0</v>
      </c>
      <c r="Y63" s="450" t="e">
        <f t="shared" si="28"/>
        <v>#VALUE!</v>
      </c>
      <c r="Z63" s="451">
        <f t="shared" si="29"/>
        <v>0</v>
      </c>
      <c r="AA63" s="451">
        <f t="shared" si="30"/>
        <v>0</v>
      </c>
      <c r="AB63" s="451">
        <f t="shared" si="31"/>
        <v>0</v>
      </c>
      <c r="AC63" s="450" t="e">
        <f t="shared" si="41"/>
        <v>#VALUE!</v>
      </c>
      <c r="AD63" s="450"/>
      <c r="AE63" s="450"/>
      <c r="AF63" s="450"/>
      <c r="AG63" s="450"/>
      <c r="AH63" s="356">
        <v>0</v>
      </c>
      <c r="AI63" s="334">
        <v>36</v>
      </c>
      <c r="AJ63" s="334" t="s">
        <v>1304</v>
      </c>
      <c r="AK63" s="334"/>
      <c r="AL63" s="334"/>
      <c r="AM63" s="334"/>
      <c r="AN63" s="334"/>
      <c r="AO63" s="334"/>
      <c r="AP63" s="334"/>
      <c r="AQ63" s="382" t="s">
        <v>70</v>
      </c>
      <c r="AR63" s="335"/>
      <c r="AS63" s="335"/>
      <c r="AT63" s="335"/>
      <c r="AU63" s="331"/>
      <c r="AV63" s="357"/>
      <c r="AW63" s="357"/>
      <c r="AX63" s="357"/>
      <c r="AY63" s="357"/>
      <c r="AZ63" s="357"/>
      <c r="BA63" s="357"/>
      <c r="BB63" s="357"/>
      <c r="BC63" s="357"/>
      <c r="BD63" s="357"/>
      <c r="BE63" s="357"/>
      <c r="BF63" s="357"/>
      <c r="BG63" s="357"/>
      <c r="BH63" s="358"/>
      <c r="BI63" s="357"/>
      <c r="BJ63" s="357"/>
      <c r="BK63" s="357"/>
      <c r="BL63" s="357"/>
      <c r="BM63" s="357"/>
      <c r="BN63" s="357"/>
      <c r="BO63" s="357"/>
      <c r="BP63" s="357"/>
      <c r="BQ63" s="357"/>
      <c r="BR63" s="357"/>
      <c r="BS63" s="357"/>
      <c r="BT63" s="357"/>
      <c r="BU63" s="357"/>
      <c r="BV63" s="357"/>
      <c r="BW63" s="357"/>
      <c r="BX63" s="357"/>
      <c r="BY63" s="357"/>
      <c r="BZ63" s="357"/>
      <c r="CA63" s="357"/>
      <c r="CB63" s="357"/>
      <c r="CC63" s="357"/>
      <c r="CD63" s="357"/>
      <c r="CE63" s="357"/>
      <c r="CF63" s="357"/>
      <c r="CG63" s="357"/>
      <c r="CH63" s="357"/>
      <c r="CI63" s="331"/>
      <c r="CJ63" s="331"/>
      <c r="CK63" s="331"/>
      <c r="CL63" s="331"/>
      <c r="CM63" s="331"/>
      <c r="CN63" s="331"/>
      <c r="CO63" s="331"/>
      <c r="CP63" s="331"/>
      <c r="CQ63" s="369"/>
      <c r="CR63" s="331"/>
      <c r="CS63" s="331"/>
      <c r="CT63" s="331"/>
      <c r="CU63" s="331"/>
      <c r="CV63" s="331"/>
      <c r="CW63" s="331"/>
      <c r="CX63" s="331"/>
      <c r="CY63" s="331"/>
      <c r="CZ63" s="331"/>
      <c r="DA63" s="331"/>
      <c r="DB63" s="331"/>
      <c r="DC63" s="331"/>
      <c r="DD63" s="331">
        <f t="shared" si="27"/>
        <v>0</v>
      </c>
      <c r="DE63" s="1"/>
      <c r="DF63" s="1"/>
      <c r="DG63" s="1"/>
      <c r="DH63" s="1"/>
      <c r="DI63" s="1"/>
      <c r="DJ63" s="1"/>
      <c r="DK63" s="1"/>
      <c r="DL63" s="1"/>
      <c r="DM63" s="1"/>
      <c r="DN63" s="1"/>
      <c r="DO63" s="1"/>
      <c r="DP63" s="1"/>
      <c r="DQ63" s="1"/>
    </row>
    <row r="64" spans="1:121" ht="48.75" thickBot="1" x14ac:dyDescent="0.25">
      <c r="A64" s="824"/>
      <c r="B64" s="824"/>
      <c r="C64" s="830"/>
      <c r="D64" s="331" t="s">
        <v>1465</v>
      </c>
      <c r="E64" s="331"/>
      <c r="F64" s="331" t="s">
        <v>1491</v>
      </c>
      <c r="G64" s="824"/>
      <c r="H64" s="824"/>
      <c r="I64" s="824"/>
      <c r="J64" s="827"/>
      <c r="K64" s="827"/>
      <c r="L64" s="349" t="s">
        <v>1492</v>
      </c>
      <c r="M64" s="350"/>
      <c r="N64" s="351">
        <f t="shared" si="32"/>
        <v>0</v>
      </c>
      <c r="O64" s="352">
        <f t="shared" si="33"/>
        <v>0</v>
      </c>
      <c r="P64" s="353">
        <f t="shared" si="34"/>
        <v>0</v>
      </c>
      <c r="Q64" s="351">
        <f t="shared" si="35"/>
        <v>0</v>
      </c>
      <c r="R64" s="352">
        <f t="shared" si="43"/>
        <v>0</v>
      </c>
      <c r="S64" s="353">
        <f t="shared" si="36"/>
        <v>0</v>
      </c>
      <c r="T64" s="351">
        <f t="shared" si="37"/>
        <v>0</v>
      </c>
      <c r="U64" s="354">
        <f t="shared" si="38"/>
        <v>0</v>
      </c>
      <c r="V64" s="328">
        <f t="shared" si="39"/>
        <v>0</v>
      </c>
      <c r="W64" s="328">
        <f t="shared" si="45"/>
        <v>0</v>
      </c>
      <c r="X64" s="355">
        <f t="shared" si="40"/>
        <v>0</v>
      </c>
      <c r="Y64" s="450" t="e">
        <f t="shared" si="28"/>
        <v>#VALUE!</v>
      </c>
      <c r="Z64" s="451">
        <f t="shared" si="29"/>
        <v>0</v>
      </c>
      <c r="AA64" s="451">
        <f t="shared" si="30"/>
        <v>0</v>
      </c>
      <c r="AB64" s="451">
        <f t="shared" si="31"/>
        <v>0</v>
      </c>
      <c r="AC64" s="450" t="e">
        <f t="shared" si="41"/>
        <v>#VALUE!</v>
      </c>
      <c r="AD64" s="450"/>
      <c r="AE64" s="450"/>
      <c r="AF64" s="450"/>
      <c r="AG64" s="450"/>
      <c r="AH64" s="356">
        <v>0</v>
      </c>
      <c r="AI64" s="334">
        <v>36</v>
      </c>
      <c r="AJ64" s="334" t="s">
        <v>1304</v>
      </c>
      <c r="AK64" s="334"/>
      <c r="AL64" s="334"/>
      <c r="AM64" s="334"/>
      <c r="AN64" s="334"/>
      <c r="AO64" s="334"/>
      <c r="AP64" s="334"/>
      <c r="AQ64" s="382" t="s">
        <v>70</v>
      </c>
      <c r="AR64" s="335"/>
      <c r="AS64" s="335"/>
      <c r="AT64" s="335"/>
      <c r="AU64" s="331"/>
      <c r="AV64" s="357"/>
      <c r="AW64" s="357"/>
      <c r="AX64" s="357"/>
      <c r="AY64" s="357"/>
      <c r="AZ64" s="357"/>
      <c r="BA64" s="357"/>
      <c r="BB64" s="357"/>
      <c r="BC64" s="357"/>
      <c r="BD64" s="357"/>
      <c r="BE64" s="357"/>
      <c r="BF64" s="357"/>
      <c r="BG64" s="357"/>
      <c r="BH64" s="358"/>
      <c r="BI64" s="357"/>
      <c r="BJ64" s="357"/>
      <c r="BK64" s="357"/>
      <c r="BL64" s="357"/>
      <c r="BM64" s="357"/>
      <c r="BN64" s="357"/>
      <c r="BO64" s="357"/>
      <c r="BP64" s="357"/>
      <c r="BQ64" s="357"/>
      <c r="BR64" s="357"/>
      <c r="BS64" s="357"/>
      <c r="BT64" s="357"/>
      <c r="BU64" s="357"/>
      <c r="BV64" s="357"/>
      <c r="BW64" s="357"/>
      <c r="BX64" s="357"/>
      <c r="BY64" s="357"/>
      <c r="BZ64" s="357"/>
      <c r="CA64" s="357"/>
      <c r="CB64" s="357"/>
      <c r="CC64" s="357"/>
      <c r="CD64" s="357"/>
      <c r="CE64" s="357"/>
      <c r="CF64" s="357"/>
      <c r="CG64" s="357"/>
      <c r="CH64" s="357"/>
      <c r="CI64" s="331"/>
      <c r="CJ64" s="331"/>
      <c r="CK64" s="331"/>
      <c r="CL64" s="331"/>
      <c r="CM64" s="331"/>
      <c r="CN64" s="331"/>
      <c r="CO64" s="331"/>
      <c r="CP64" s="331"/>
      <c r="CQ64" s="369"/>
      <c r="CR64" s="331"/>
      <c r="CS64" s="331"/>
      <c r="CT64" s="331"/>
      <c r="CU64" s="331"/>
      <c r="CV64" s="331"/>
      <c r="CW64" s="331"/>
      <c r="CX64" s="331"/>
      <c r="CY64" s="331"/>
      <c r="CZ64" s="331"/>
      <c r="DA64" s="331"/>
      <c r="DB64" s="331"/>
      <c r="DC64" s="331"/>
      <c r="DD64" s="331">
        <f t="shared" si="27"/>
        <v>0</v>
      </c>
      <c r="DE64" s="1"/>
      <c r="DF64" s="1"/>
      <c r="DG64" s="1"/>
      <c r="DH64" s="1"/>
      <c r="DI64" s="1"/>
      <c r="DJ64" s="1"/>
      <c r="DK64" s="1"/>
      <c r="DL64" s="1"/>
      <c r="DM64" s="1"/>
      <c r="DN64" s="1"/>
      <c r="DO64" s="1"/>
      <c r="DP64" s="1"/>
      <c r="DQ64" s="1"/>
    </row>
    <row r="65" spans="1:121" ht="48.75" thickBot="1" x14ac:dyDescent="0.25">
      <c r="A65" s="824"/>
      <c r="B65" s="824"/>
      <c r="C65" s="830"/>
      <c r="D65" s="331" t="s">
        <v>1466</v>
      </c>
      <c r="E65" s="331"/>
      <c r="F65" s="331" t="s">
        <v>1486</v>
      </c>
      <c r="G65" s="824"/>
      <c r="H65" s="824"/>
      <c r="I65" s="824"/>
      <c r="J65" s="827"/>
      <c r="K65" s="827"/>
      <c r="L65" s="349" t="s">
        <v>1492</v>
      </c>
      <c r="M65" s="350"/>
      <c r="N65" s="351">
        <f t="shared" si="32"/>
        <v>0</v>
      </c>
      <c r="O65" s="352">
        <f t="shared" si="33"/>
        <v>0</v>
      </c>
      <c r="P65" s="353">
        <f t="shared" si="34"/>
        <v>0</v>
      </c>
      <c r="Q65" s="351">
        <f t="shared" si="35"/>
        <v>0</v>
      </c>
      <c r="R65" s="352">
        <f t="shared" si="43"/>
        <v>0</v>
      </c>
      <c r="S65" s="353">
        <f t="shared" si="36"/>
        <v>0</v>
      </c>
      <c r="T65" s="351">
        <f t="shared" si="37"/>
        <v>0</v>
      </c>
      <c r="U65" s="354">
        <f t="shared" si="38"/>
        <v>0</v>
      </c>
      <c r="V65" s="328">
        <f t="shared" si="39"/>
        <v>0</v>
      </c>
      <c r="W65" s="328">
        <f t="shared" si="45"/>
        <v>0</v>
      </c>
      <c r="X65" s="355">
        <f t="shared" si="40"/>
        <v>0</v>
      </c>
      <c r="Y65" s="450" t="e">
        <f t="shared" si="28"/>
        <v>#VALUE!</v>
      </c>
      <c r="Z65" s="451">
        <f t="shared" si="29"/>
        <v>0</v>
      </c>
      <c r="AA65" s="451">
        <f t="shared" si="30"/>
        <v>0</v>
      </c>
      <c r="AB65" s="451">
        <f t="shared" si="31"/>
        <v>0</v>
      </c>
      <c r="AC65" s="450" t="e">
        <f t="shared" si="41"/>
        <v>#VALUE!</v>
      </c>
      <c r="AD65" s="450"/>
      <c r="AE65" s="450"/>
      <c r="AF65" s="450"/>
      <c r="AG65" s="450"/>
      <c r="AH65" s="356">
        <v>0</v>
      </c>
      <c r="AI65" s="334">
        <v>36</v>
      </c>
      <c r="AJ65" s="334" t="s">
        <v>1304</v>
      </c>
      <c r="AK65" s="334"/>
      <c r="AL65" s="334"/>
      <c r="AM65" s="334"/>
      <c r="AN65" s="334"/>
      <c r="AO65" s="334"/>
      <c r="AP65" s="334"/>
      <c r="AQ65" s="382" t="s">
        <v>70</v>
      </c>
      <c r="AR65" s="335"/>
      <c r="AS65" s="335"/>
      <c r="AT65" s="335"/>
      <c r="AU65" s="331"/>
      <c r="AV65" s="357"/>
      <c r="AW65" s="357"/>
      <c r="AX65" s="357"/>
      <c r="AY65" s="357"/>
      <c r="AZ65" s="357"/>
      <c r="BA65" s="357"/>
      <c r="BB65" s="357"/>
      <c r="BC65" s="357"/>
      <c r="BD65" s="357"/>
      <c r="BE65" s="357"/>
      <c r="BF65" s="357"/>
      <c r="BG65" s="357"/>
      <c r="BH65" s="358"/>
      <c r="BI65" s="357"/>
      <c r="BJ65" s="357"/>
      <c r="BK65" s="357"/>
      <c r="BL65" s="357"/>
      <c r="BM65" s="357"/>
      <c r="BN65" s="357"/>
      <c r="BO65" s="357"/>
      <c r="BP65" s="357"/>
      <c r="BQ65" s="357"/>
      <c r="BR65" s="357"/>
      <c r="BS65" s="357"/>
      <c r="BT65" s="357"/>
      <c r="BU65" s="357"/>
      <c r="BV65" s="357"/>
      <c r="BW65" s="357"/>
      <c r="BX65" s="357"/>
      <c r="BY65" s="357"/>
      <c r="BZ65" s="357"/>
      <c r="CA65" s="357"/>
      <c r="CB65" s="357"/>
      <c r="CC65" s="357"/>
      <c r="CD65" s="357"/>
      <c r="CE65" s="357"/>
      <c r="CF65" s="357"/>
      <c r="CG65" s="357"/>
      <c r="CH65" s="357"/>
      <c r="CI65" s="331"/>
      <c r="CJ65" s="331"/>
      <c r="CK65" s="331"/>
      <c r="CL65" s="331"/>
      <c r="CM65" s="331"/>
      <c r="CN65" s="331"/>
      <c r="CO65" s="331"/>
      <c r="CP65" s="331"/>
      <c r="CQ65" s="369"/>
      <c r="CR65" s="331"/>
      <c r="CS65" s="331"/>
      <c r="CT65" s="331"/>
      <c r="CU65" s="331"/>
      <c r="CV65" s="331"/>
      <c r="CW65" s="331"/>
      <c r="CX65" s="331"/>
      <c r="CY65" s="331"/>
      <c r="CZ65" s="331"/>
      <c r="DA65" s="331"/>
      <c r="DB65" s="331"/>
      <c r="DC65" s="331"/>
      <c r="DD65" s="331">
        <f t="shared" si="27"/>
        <v>0</v>
      </c>
      <c r="DE65" s="1"/>
      <c r="DF65" s="1"/>
      <c r="DG65" s="1"/>
      <c r="DH65" s="1"/>
      <c r="DI65" s="1"/>
      <c r="DJ65" s="1"/>
      <c r="DK65" s="1"/>
      <c r="DL65" s="1"/>
      <c r="DM65" s="1"/>
      <c r="DN65" s="1"/>
      <c r="DO65" s="1"/>
      <c r="DP65" s="1"/>
      <c r="DQ65" s="1"/>
    </row>
    <row r="66" spans="1:121" ht="48.75" thickBot="1" x14ac:dyDescent="0.25">
      <c r="A66" s="824"/>
      <c r="B66" s="824"/>
      <c r="C66" s="830"/>
      <c r="D66" s="331" t="s">
        <v>1467</v>
      </c>
      <c r="E66" s="331"/>
      <c r="F66" s="331" t="s">
        <v>1487</v>
      </c>
      <c r="G66" s="824"/>
      <c r="H66" s="824"/>
      <c r="I66" s="824"/>
      <c r="J66" s="827"/>
      <c r="K66" s="827"/>
      <c r="L66" s="349" t="s">
        <v>1492</v>
      </c>
      <c r="M66" s="350"/>
      <c r="N66" s="351">
        <f t="shared" si="32"/>
        <v>0</v>
      </c>
      <c r="O66" s="352">
        <f t="shared" si="33"/>
        <v>0</v>
      </c>
      <c r="P66" s="353">
        <f t="shared" si="34"/>
        <v>0</v>
      </c>
      <c r="Q66" s="351">
        <f t="shared" si="35"/>
        <v>0</v>
      </c>
      <c r="R66" s="352">
        <f t="shared" si="43"/>
        <v>0</v>
      </c>
      <c r="S66" s="353">
        <f t="shared" si="36"/>
        <v>0</v>
      </c>
      <c r="T66" s="351">
        <f t="shared" si="37"/>
        <v>0</v>
      </c>
      <c r="U66" s="354">
        <f t="shared" si="38"/>
        <v>0</v>
      </c>
      <c r="V66" s="328">
        <f t="shared" si="39"/>
        <v>0</v>
      </c>
      <c r="W66" s="328">
        <f t="shared" si="45"/>
        <v>0</v>
      </c>
      <c r="X66" s="355">
        <f t="shared" si="40"/>
        <v>0</v>
      </c>
      <c r="Y66" s="450" t="e">
        <f t="shared" si="28"/>
        <v>#VALUE!</v>
      </c>
      <c r="Z66" s="451">
        <f t="shared" si="29"/>
        <v>0</v>
      </c>
      <c r="AA66" s="451">
        <f t="shared" si="30"/>
        <v>0</v>
      </c>
      <c r="AB66" s="451">
        <f t="shared" si="31"/>
        <v>0</v>
      </c>
      <c r="AC66" s="450" t="e">
        <f t="shared" si="41"/>
        <v>#VALUE!</v>
      </c>
      <c r="AD66" s="450"/>
      <c r="AE66" s="450"/>
      <c r="AF66" s="450"/>
      <c r="AG66" s="450"/>
      <c r="AH66" s="356">
        <v>0</v>
      </c>
      <c r="AI66" s="334">
        <v>36</v>
      </c>
      <c r="AJ66" s="334" t="s">
        <v>1304</v>
      </c>
      <c r="AK66" s="334"/>
      <c r="AL66" s="334"/>
      <c r="AM66" s="334"/>
      <c r="AN66" s="334"/>
      <c r="AO66" s="334"/>
      <c r="AP66" s="334"/>
      <c r="AQ66" s="382" t="s">
        <v>70</v>
      </c>
      <c r="AR66" s="335"/>
      <c r="AS66" s="335"/>
      <c r="AT66" s="335"/>
      <c r="AU66" s="331"/>
      <c r="AV66" s="357"/>
      <c r="AW66" s="357"/>
      <c r="AX66" s="357"/>
      <c r="AY66" s="357"/>
      <c r="AZ66" s="357"/>
      <c r="BA66" s="357"/>
      <c r="BB66" s="357"/>
      <c r="BC66" s="357"/>
      <c r="BD66" s="357"/>
      <c r="BE66" s="357"/>
      <c r="BF66" s="357"/>
      <c r="BG66" s="357"/>
      <c r="BH66" s="358"/>
      <c r="BI66" s="357"/>
      <c r="BJ66" s="357"/>
      <c r="BK66" s="357"/>
      <c r="BL66" s="357"/>
      <c r="BM66" s="357"/>
      <c r="BN66" s="357"/>
      <c r="BO66" s="357"/>
      <c r="BP66" s="357"/>
      <c r="BQ66" s="357"/>
      <c r="BR66" s="357"/>
      <c r="BS66" s="357"/>
      <c r="BT66" s="357"/>
      <c r="BU66" s="357"/>
      <c r="BV66" s="357"/>
      <c r="BW66" s="357"/>
      <c r="BX66" s="357"/>
      <c r="BY66" s="357"/>
      <c r="BZ66" s="357"/>
      <c r="CA66" s="357"/>
      <c r="CB66" s="357"/>
      <c r="CC66" s="357"/>
      <c r="CD66" s="357"/>
      <c r="CE66" s="357"/>
      <c r="CF66" s="357"/>
      <c r="CG66" s="357"/>
      <c r="CH66" s="357"/>
      <c r="CI66" s="331"/>
      <c r="CJ66" s="331"/>
      <c r="CK66" s="331"/>
      <c r="CL66" s="331"/>
      <c r="CM66" s="331"/>
      <c r="CN66" s="331"/>
      <c r="CO66" s="331"/>
      <c r="CP66" s="331"/>
      <c r="CQ66" s="369"/>
      <c r="CR66" s="331"/>
      <c r="CS66" s="331"/>
      <c r="CT66" s="331"/>
      <c r="CU66" s="331"/>
      <c r="CV66" s="331"/>
      <c r="CW66" s="331"/>
      <c r="CX66" s="331"/>
      <c r="CY66" s="331"/>
      <c r="CZ66" s="331"/>
      <c r="DA66" s="331"/>
      <c r="DB66" s="331"/>
      <c r="DC66" s="331"/>
      <c r="DD66" s="331">
        <f t="shared" si="27"/>
        <v>0</v>
      </c>
      <c r="DE66" s="1"/>
      <c r="DF66" s="1"/>
      <c r="DG66" s="1"/>
      <c r="DH66" s="1"/>
      <c r="DI66" s="1"/>
      <c r="DJ66" s="1"/>
      <c r="DK66" s="1"/>
      <c r="DL66" s="1"/>
      <c r="DM66" s="1"/>
      <c r="DN66" s="1"/>
      <c r="DO66" s="1"/>
      <c r="DP66" s="1"/>
      <c r="DQ66" s="1"/>
    </row>
    <row r="67" spans="1:121" ht="48.75" thickBot="1" x14ac:dyDescent="0.25">
      <c r="A67" s="824"/>
      <c r="B67" s="824"/>
      <c r="C67" s="830"/>
      <c r="D67" s="331" t="s">
        <v>1468</v>
      </c>
      <c r="E67" s="331"/>
      <c r="F67" s="331" t="s">
        <v>193</v>
      </c>
      <c r="G67" s="824"/>
      <c r="H67" s="824"/>
      <c r="I67" s="824"/>
      <c r="J67" s="827"/>
      <c r="K67" s="827"/>
      <c r="L67" s="349" t="s">
        <v>1492</v>
      </c>
      <c r="M67" s="350"/>
      <c r="N67" s="351">
        <f t="shared" si="32"/>
        <v>0</v>
      </c>
      <c r="O67" s="352">
        <f t="shared" si="33"/>
        <v>0</v>
      </c>
      <c r="P67" s="353">
        <f t="shared" si="34"/>
        <v>0</v>
      </c>
      <c r="Q67" s="351">
        <f t="shared" si="35"/>
        <v>0</v>
      </c>
      <c r="R67" s="352">
        <f t="shared" si="43"/>
        <v>0</v>
      </c>
      <c r="S67" s="353">
        <f t="shared" si="36"/>
        <v>0</v>
      </c>
      <c r="T67" s="351">
        <f t="shared" si="37"/>
        <v>0</v>
      </c>
      <c r="U67" s="354">
        <f t="shared" si="38"/>
        <v>0</v>
      </c>
      <c r="V67" s="328">
        <f t="shared" si="39"/>
        <v>0</v>
      </c>
      <c r="W67" s="328">
        <f t="shared" si="45"/>
        <v>0</v>
      </c>
      <c r="X67" s="355">
        <f t="shared" si="40"/>
        <v>0</v>
      </c>
      <c r="Y67" s="450" t="e">
        <f t="shared" si="28"/>
        <v>#VALUE!</v>
      </c>
      <c r="Z67" s="451">
        <f t="shared" si="29"/>
        <v>0</v>
      </c>
      <c r="AA67" s="451">
        <f t="shared" si="30"/>
        <v>0</v>
      </c>
      <c r="AB67" s="451">
        <f t="shared" si="31"/>
        <v>0</v>
      </c>
      <c r="AC67" s="450" t="e">
        <f t="shared" si="41"/>
        <v>#VALUE!</v>
      </c>
      <c r="AD67" s="450"/>
      <c r="AE67" s="450"/>
      <c r="AF67" s="450"/>
      <c r="AG67" s="450"/>
      <c r="AH67" s="356">
        <v>0</v>
      </c>
      <c r="AI67" s="334">
        <v>36</v>
      </c>
      <c r="AJ67" s="334" t="s">
        <v>1304</v>
      </c>
      <c r="AK67" s="334"/>
      <c r="AL67" s="334"/>
      <c r="AM67" s="334"/>
      <c r="AN67" s="334"/>
      <c r="AO67" s="334"/>
      <c r="AP67" s="334"/>
      <c r="AQ67" s="382" t="s">
        <v>70</v>
      </c>
      <c r="AR67" s="335"/>
      <c r="AS67" s="335"/>
      <c r="AT67" s="335"/>
      <c r="AU67" s="331"/>
      <c r="AV67" s="357"/>
      <c r="AW67" s="357"/>
      <c r="AX67" s="357"/>
      <c r="AY67" s="357"/>
      <c r="AZ67" s="357"/>
      <c r="BA67" s="357"/>
      <c r="BB67" s="357"/>
      <c r="BC67" s="357"/>
      <c r="BD67" s="357"/>
      <c r="BE67" s="357"/>
      <c r="BF67" s="357"/>
      <c r="BG67" s="357"/>
      <c r="BH67" s="358"/>
      <c r="BI67" s="357"/>
      <c r="BJ67" s="357"/>
      <c r="BK67" s="357"/>
      <c r="BL67" s="357"/>
      <c r="BM67" s="357"/>
      <c r="BN67" s="357"/>
      <c r="BO67" s="357"/>
      <c r="BP67" s="357"/>
      <c r="BQ67" s="357"/>
      <c r="BR67" s="357"/>
      <c r="BS67" s="357"/>
      <c r="BT67" s="357"/>
      <c r="BU67" s="357"/>
      <c r="BV67" s="357"/>
      <c r="BW67" s="357"/>
      <c r="BX67" s="357"/>
      <c r="BY67" s="357"/>
      <c r="BZ67" s="357"/>
      <c r="CA67" s="357"/>
      <c r="CB67" s="357"/>
      <c r="CC67" s="357"/>
      <c r="CD67" s="357"/>
      <c r="CE67" s="357"/>
      <c r="CF67" s="357"/>
      <c r="CG67" s="357"/>
      <c r="CH67" s="357"/>
      <c r="CI67" s="331"/>
      <c r="CJ67" s="331"/>
      <c r="CK67" s="331"/>
      <c r="CL67" s="331"/>
      <c r="CM67" s="331"/>
      <c r="CN67" s="331"/>
      <c r="CO67" s="331"/>
      <c r="CP67" s="331"/>
      <c r="CQ67" s="369"/>
      <c r="CR67" s="331"/>
      <c r="CS67" s="331"/>
      <c r="CT67" s="331"/>
      <c r="CU67" s="331"/>
      <c r="CV67" s="331"/>
      <c r="CW67" s="331"/>
      <c r="CX67" s="331"/>
      <c r="CY67" s="331"/>
      <c r="CZ67" s="331"/>
      <c r="DA67" s="331"/>
      <c r="DB67" s="331"/>
      <c r="DC67" s="331"/>
      <c r="DD67" s="331">
        <f t="shared" ref="DD67:DD77" si="46">SUM(CR67:DC67)</f>
        <v>0</v>
      </c>
      <c r="DE67" s="1"/>
      <c r="DF67" s="1"/>
      <c r="DG67" s="1"/>
      <c r="DH67" s="1"/>
      <c r="DI67" s="1"/>
      <c r="DJ67" s="1"/>
      <c r="DK67" s="1"/>
      <c r="DL67" s="1"/>
      <c r="DM67" s="1"/>
      <c r="DN67" s="1"/>
      <c r="DO67" s="1"/>
      <c r="DP67" s="1"/>
      <c r="DQ67" s="1"/>
    </row>
    <row r="68" spans="1:121" ht="48.75" thickBot="1" x14ac:dyDescent="0.25">
      <c r="A68" s="824"/>
      <c r="B68" s="824"/>
      <c r="C68" s="830"/>
      <c r="D68" s="331" t="s">
        <v>1469</v>
      </c>
      <c r="E68" s="331"/>
      <c r="F68" s="331" t="s">
        <v>1479</v>
      </c>
      <c r="G68" s="824"/>
      <c r="H68" s="824"/>
      <c r="I68" s="824"/>
      <c r="J68" s="827"/>
      <c r="K68" s="827"/>
      <c r="L68" s="349" t="s">
        <v>1492</v>
      </c>
      <c r="M68" s="350"/>
      <c r="N68" s="351">
        <f t="shared" si="32"/>
        <v>0</v>
      </c>
      <c r="O68" s="352">
        <f t="shared" si="33"/>
        <v>0</v>
      </c>
      <c r="P68" s="353">
        <f t="shared" si="34"/>
        <v>0</v>
      </c>
      <c r="Q68" s="351">
        <f t="shared" si="35"/>
        <v>0</v>
      </c>
      <c r="R68" s="352">
        <f t="shared" si="43"/>
        <v>0</v>
      </c>
      <c r="S68" s="353">
        <f t="shared" si="36"/>
        <v>0</v>
      </c>
      <c r="T68" s="351">
        <f t="shared" si="37"/>
        <v>0</v>
      </c>
      <c r="U68" s="354">
        <f t="shared" si="38"/>
        <v>0</v>
      </c>
      <c r="V68" s="328">
        <f t="shared" si="39"/>
        <v>0</v>
      </c>
      <c r="W68" s="328">
        <f t="shared" si="45"/>
        <v>0</v>
      </c>
      <c r="X68" s="355">
        <f t="shared" si="40"/>
        <v>0</v>
      </c>
      <c r="Y68" s="450" t="e">
        <f t="shared" ref="Y68:Y75" si="47">L68-X68</f>
        <v>#VALUE!</v>
      </c>
      <c r="Z68" s="451">
        <f t="shared" ref="Z68:Z74" si="48">X68</f>
        <v>0</v>
      </c>
      <c r="AA68" s="451">
        <f t="shared" ref="AA68:AA131" si="49">DD68</f>
        <v>0</v>
      </c>
      <c r="AB68" s="451">
        <f t="shared" ref="AB68:AB131" si="50">Z68+AA68</f>
        <v>0</v>
      </c>
      <c r="AC68" s="450" t="e">
        <f t="shared" ref="AC68:AC131" si="51">L68-AB68</f>
        <v>#VALUE!</v>
      </c>
      <c r="AD68" s="450"/>
      <c r="AE68" s="450"/>
      <c r="AF68" s="450"/>
      <c r="AG68" s="450"/>
      <c r="AH68" s="356">
        <v>0</v>
      </c>
      <c r="AI68" s="334">
        <v>36</v>
      </c>
      <c r="AJ68" s="334" t="s">
        <v>1304</v>
      </c>
      <c r="AK68" s="334"/>
      <c r="AL68" s="334"/>
      <c r="AM68" s="334"/>
      <c r="AN68" s="334"/>
      <c r="AO68" s="334"/>
      <c r="AP68" s="334"/>
      <c r="AQ68" s="382" t="s">
        <v>70</v>
      </c>
      <c r="AR68" s="335"/>
      <c r="AS68" s="335"/>
      <c r="AT68" s="335"/>
      <c r="AU68" s="331"/>
      <c r="AV68" s="357"/>
      <c r="AW68" s="357"/>
      <c r="AX68" s="357"/>
      <c r="AY68" s="357"/>
      <c r="AZ68" s="357"/>
      <c r="BA68" s="357"/>
      <c r="BB68" s="357"/>
      <c r="BC68" s="357"/>
      <c r="BD68" s="357"/>
      <c r="BE68" s="357"/>
      <c r="BF68" s="357"/>
      <c r="BG68" s="357"/>
      <c r="BH68" s="358"/>
      <c r="BI68" s="357"/>
      <c r="BJ68" s="357"/>
      <c r="BK68" s="357"/>
      <c r="BL68" s="357"/>
      <c r="BM68" s="357"/>
      <c r="BN68" s="357"/>
      <c r="BO68" s="357"/>
      <c r="BP68" s="357"/>
      <c r="BQ68" s="357"/>
      <c r="BR68" s="357"/>
      <c r="BS68" s="357"/>
      <c r="BT68" s="357"/>
      <c r="BU68" s="357"/>
      <c r="BV68" s="357"/>
      <c r="BW68" s="357"/>
      <c r="BX68" s="357"/>
      <c r="BY68" s="357"/>
      <c r="BZ68" s="357"/>
      <c r="CA68" s="357"/>
      <c r="CB68" s="357"/>
      <c r="CC68" s="357"/>
      <c r="CD68" s="357"/>
      <c r="CE68" s="357"/>
      <c r="CF68" s="357"/>
      <c r="CG68" s="357"/>
      <c r="CH68" s="357"/>
      <c r="CI68" s="331"/>
      <c r="CJ68" s="331"/>
      <c r="CK68" s="331"/>
      <c r="CL68" s="331"/>
      <c r="CM68" s="331"/>
      <c r="CN68" s="331"/>
      <c r="CO68" s="331"/>
      <c r="CP68" s="331"/>
      <c r="CQ68" s="369"/>
      <c r="CR68" s="331"/>
      <c r="CS68" s="331"/>
      <c r="CT68" s="331"/>
      <c r="CU68" s="331"/>
      <c r="CV68" s="331"/>
      <c r="CW68" s="331"/>
      <c r="CX68" s="331"/>
      <c r="CY68" s="331"/>
      <c r="CZ68" s="331"/>
      <c r="DA68" s="331"/>
      <c r="DB68" s="331"/>
      <c r="DC68" s="331"/>
      <c r="DD68" s="331">
        <f t="shared" si="46"/>
        <v>0</v>
      </c>
      <c r="DE68" s="1"/>
      <c r="DF68" s="1"/>
      <c r="DG68" s="1"/>
      <c r="DH68" s="1"/>
      <c r="DI68" s="1"/>
      <c r="DJ68" s="1"/>
      <c r="DK68" s="1"/>
      <c r="DL68" s="1"/>
      <c r="DM68" s="1"/>
      <c r="DN68" s="1"/>
      <c r="DO68" s="1"/>
      <c r="DP68" s="1"/>
      <c r="DQ68" s="1"/>
    </row>
    <row r="69" spans="1:121" ht="48.75" thickBot="1" x14ac:dyDescent="0.25">
      <c r="A69" s="824"/>
      <c r="B69" s="824"/>
      <c r="C69" s="830"/>
      <c r="D69" s="331" t="s">
        <v>1482</v>
      </c>
      <c r="E69" s="331"/>
      <c r="F69" s="331" t="s">
        <v>94</v>
      </c>
      <c r="G69" s="824"/>
      <c r="H69" s="824"/>
      <c r="I69" s="824"/>
      <c r="J69" s="827"/>
      <c r="K69" s="827"/>
      <c r="L69" s="349" t="s">
        <v>1492</v>
      </c>
      <c r="M69" s="350"/>
      <c r="N69" s="351">
        <f t="shared" si="32"/>
        <v>0</v>
      </c>
      <c r="O69" s="352">
        <f t="shared" si="33"/>
        <v>0</v>
      </c>
      <c r="P69" s="353">
        <f t="shared" si="34"/>
        <v>0</v>
      </c>
      <c r="Q69" s="351">
        <f t="shared" si="35"/>
        <v>0</v>
      </c>
      <c r="R69" s="352">
        <f t="shared" si="43"/>
        <v>0</v>
      </c>
      <c r="S69" s="353">
        <f t="shared" si="36"/>
        <v>0</v>
      </c>
      <c r="T69" s="351">
        <f t="shared" si="37"/>
        <v>0</v>
      </c>
      <c r="U69" s="354">
        <f t="shared" si="38"/>
        <v>0</v>
      </c>
      <c r="V69" s="328">
        <f t="shared" si="39"/>
        <v>0</v>
      </c>
      <c r="W69" s="328">
        <f t="shared" si="45"/>
        <v>0</v>
      </c>
      <c r="X69" s="355">
        <f t="shared" si="40"/>
        <v>0</v>
      </c>
      <c r="Y69" s="450" t="e">
        <f t="shared" si="47"/>
        <v>#VALUE!</v>
      </c>
      <c r="Z69" s="451">
        <f t="shared" si="48"/>
        <v>0</v>
      </c>
      <c r="AA69" s="451">
        <f t="shared" si="49"/>
        <v>0</v>
      </c>
      <c r="AB69" s="451">
        <f t="shared" si="50"/>
        <v>0</v>
      </c>
      <c r="AC69" s="450" t="e">
        <f t="shared" si="51"/>
        <v>#VALUE!</v>
      </c>
      <c r="AD69" s="450"/>
      <c r="AE69" s="450"/>
      <c r="AF69" s="450"/>
      <c r="AG69" s="450"/>
      <c r="AH69" s="356">
        <v>0</v>
      </c>
      <c r="AI69" s="334">
        <v>36</v>
      </c>
      <c r="AJ69" s="334" t="s">
        <v>1304</v>
      </c>
      <c r="AK69" s="334"/>
      <c r="AL69" s="334"/>
      <c r="AM69" s="334"/>
      <c r="AN69" s="334"/>
      <c r="AO69" s="334"/>
      <c r="AP69" s="334"/>
      <c r="AQ69" s="382" t="s">
        <v>70</v>
      </c>
      <c r="AR69" s="335"/>
      <c r="AS69" s="335"/>
      <c r="AT69" s="335"/>
      <c r="AU69" s="331"/>
      <c r="AV69" s="357"/>
      <c r="AW69" s="357"/>
      <c r="AX69" s="357"/>
      <c r="AY69" s="357"/>
      <c r="AZ69" s="357"/>
      <c r="BA69" s="357"/>
      <c r="BB69" s="357"/>
      <c r="BC69" s="357"/>
      <c r="BD69" s="357"/>
      <c r="BE69" s="357"/>
      <c r="BF69" s="357"/>
      <c r="BG69" s="357"/>
      <c r="BH69" s="358"/>
      <c r="BI69" s="357"/>
      <c r="BJ69" s="357"/>
      <c r="BK69" s="357"/>
      <c r="BL69" s="357"/>
      <c r="BM69" s="357"/>
      <c r="BN69" s="357"/>
      <c r="BO69" s="357"/>
      <c r="BP69" s="357"/>
      <c r="BQ69" s="357"/>
      <c r="BR69" s="357"/>
      <c r="BS69" s="357"/>
      <c r="BT69" s="357"/>
      <c r="BU69" s="357"/>
      <c r="BV69" s="357"/>
      <c r="BW69" s="357"/>
      <c r="BX69" s="357"/>
      <c r="BY69" s="357"/>
      <c r="BZ69" s="357"/>
      <c r="CA69" s="357"/>
      <c r="CB69" s="357"/>
      <c r="CC69" s="357"/>
      <c r="CD69" s="357"/>
      <c r="CE69" s="357"/>
      <c r="CF69" s="357"/>
      <c r="CG69" s="357"/>
      <c r="CH69" s="357"/>
      <c r="CI69" s="331"/>
      <c r="CJ69" s="331"/>
      <c r="CK69" s="331"/>
      <c r="CL69" s="331"/>
      <c r="CM69" s="331"/>
      <c r="CN69" s="331"/>
      <c r="CO69" s="331"/>
      <c r="CP69" s="331"/>
      <c r="CQ69" s="369"/>
      <c r="CR69" s="331"/>
      <c r="CS69" s="331"/>
      <c r="CT69" s="331"/>
      <c r="CU69" s="331"/>
      <c r="CV69" s="331"/>
      <c r="CW69" s="331"/>
      <c r="CX69" s="331"/>
      <c r="CY69" s="331"/>
      <c r="CZ69" s="331"/>
      <c r="DA69" s="331"/>
      <c r="DB69" s="331"/>
      <c r="DC69" s="331"/>
      <c r="DD69" s="331">
        <f t="shared" si="46"/>
        <v>0</v>
      </c>
      <c r="DE69" s="1"/>
      <c r="DF69" s="1"/>
      <c r="DG69" s="1"/>
      <c r="DH69" s="1"/>
      <c r="DI69" s="1"/>
      <c r="DJ69" s="1"/>
      <c r="DK69" s="1"/>
      <c r="DL69" s="1"/>
      <c r="DM69" s="1"/>
      <c r="DN69" s="1"/>
      <c r="DO69" s="1"/>
      <c r="DP69" s="1"/>
      <c r="DQ69" s="1"/>
    </row>
    <row r="70" spans="1:121" ht="48.75" thickBot="1" x14ac:dyDescent="0.25">
      <c r="A70" s="824"/>
      <c r="B70" s="824"/>
      <c r="C70" s="830"/>
      <c r="D70" s="331" t="s">
        <v>1497</v>
      </c>
      <c r="E70" s="331"/>
      <c r="F70" s="331"/>
      <c r="G70" s="824"/>
      <c r="H70" s="824"/>
      <c r="I70" s="824"/>
      <c r="J70" s="827"/>
      <c r="K70" s="827"/>
      <c r="L70" s="349"/>
      <c r="M70" s="350"/>
      <c r="N70" s="351"/>
      <c r="O70" s="352"/>
      <c r="P70" s="353"/>
      <c r="Q70" s="351"/>
      <c r="R70" s="352"/>
      <c r="S70" s="353"/>
      <c r="T70" s="351"/>
      <c r="U70" s="354"/>
      <c r="V70" s="328"/>
      <c r="W70" s="328"/>
      <c r="X70" s="355"/>
      <c r="Y70" s="450">
        <f t="shared" si="47"/>
        <v>0</v>
      </c>
      <c r="Z70" s="451">
        <f t="shared" si="48"/>
        <v>0</v>
      </c>
      <c r="AA70" s="451">
        <f t="shared" si="49"/>
        <v>0</v>
      </c>
      <c r="AB70" s="451">
        <f t="shared" si="50"/>
        <v>0</v>
      </c>
      <c r="AC70" s="450"/>
      <c r="AD70" s="450"/>
      <c r="AE70" s="450"/>
      <c r="AF70" s="450"/>
      <c r="AG70" s="450"/>
      <c r="AH70" s="356"/>
      <c r="AI70" s="334">
        <v>36</v>
      </c>
      <c r="AJ70" s="334" t="s">
        <v>1304</v>
      </c>
      <c r="AK70" s="334"/>
      <c r="AL70" s="334"/>
      <c r="AM70" s="334"/>
      <c r="AN70" s="334"/>
      <c r="AO70" s="334"/>
      <c r="AP70" s="334"/>
      <c r="AQ70" s="382" t="s">
        <v>70</v>
      </c>
      <c r="AR70" s="335"/>
      <c r="AS70" s="335"/>
      <c r="AT70" s="335"/>
      <c r="AU70" s="331"/>
      <c r="AV70" s="357"/>
      <c r="AW70" s="357"/>
      <c r="AX70" s="357"/>
      <c r="AY70" s="357"/>
      <c r="AZ70" s="357"/>
      <c r="BA70" s="357"/>
      <c r="BB70" s="357"/>
      <c r="BC70" s="357"/>
      <c r="BD70" s="357"/>
      <c r="BE70" s="357"/>
      <c r="BF70" s="357"/>
      <c r="BG70" s="357"/>
      <c r="BH70" s="358"/>
      <c r="BI70" s="357"/>
      <c r="BJ70" s="357"/>
      <c r="BK70" s="357"/>
      <c r="BL70" s="357"/>
      <c r="BM70" s="357"/>
      <c r="BN70" s="357"/>
      <c r="BO70" s="357"/>
      <c r="BP70" s="357"/>
      <c r="BQ70" s="357"/>
      <c r="BR70" s="357"/>
      <c r="BS70" s="357"/>
      <c r="BT70" s="357"/>
      <c r="BU70" s="357"/>
      <c r="BV70" s="357"/>
      <c r="BW70" s="357"/>
      <c r="BX70" s="357"/>
      <c r="BY70" s="357"/>
      <c r="BZ70" s="357"/>
      <c r="CA70" s="357"/>
      <c r="CB70" s="357"/>
      <c r="CC70" s="357"/>
      <c r="CD70" s="357"/>
      <c r="CE70" s="357"/>
      <c r="CF70" s="357"/>
      <c r="CG70" s="357"/>
      <c r="CH70" s="357"/>
      <c r="CI70" s="331"/>
      <c r="CJ70" s="331"/>
      <c r="CK70" s="331"/>
      <c r="CL70" s="331"/>
      <c r="CM70" s="331"/>
      <c r="CN70" s="331"/>
      <c r="CO70" s="331"/>
      <c r="CP70" s="331"/>
      <c r="CQ70" s="369"/>
      <c r="CR70" s="331"/>
      <c r="CS70" s="331"/>
      <c r="CT70" s="331"/>
      <c r="CU70" s="331"/>
      <c r="CV70" s="331"/>
      <c r="CW70" s="331"/>
      <c r="CX70" s="331"/>
      <c r="CY70" s="331"/>
      <c r="CZ70" s="331"/>
      <c r="DA70" s="331"/>
      <c r="DB70" s="331"/>
      <c r="DC70" s="331"/>
      <c r="DD70" s="331">
        <f t="shared" si="46"/>
        <v>0</v>
      </c>
      <c r="DE70" s="1"/>
      <c r="DF70" s="1"/>
      <c r="DG70" s="1"/>
      <c r="DH70" s="1"/>
      <c r="DI70" s="1"/>
      <c r="DJ70" s="1"/>
      <c r="DK70" s="1"/>
      <c r="DL70" s="1"/>
      <c r="DM70" s="1"/>
      <c r="DN70" s="1"/>
      <c r="DO70" s="1"/>
      <c r="DP70" s="1"/>
      <c r="DQ70" s="1"/>
    </row>
    <row r="71" spans="1:121" ht="48.75" thickBot="1" x14ac:dyDescent="0.25">
      <c r="A71" s="825"/>
      <c r="B71" s="825"/>
      <c r="C71" s="831"/>
      <c r="D71" s="331" t="s">
        <v>1470</v>
      </c>
      <c r="E71" s="331"/>
      <c r="F71" s="331" t="s">
        <v>1483</v>
      </c>
      <c r="G71" s="825"/>
      <c r="H71" s="825"/>
      <c r="I71" s="825"/>
      <c r="J71" s="828"/>
      <c r="K71" s="828"/>
      <c r="L71" s="349" t="s">
        <v>1492</v>
      </c>
      <c r="M71" s="350"/>
      <c r="N71" s="351">
        <f>BD71</f>
        <v>0</v>
      </c>
      <c r="O71" s="352">
        <f>N71+M71</f>
        <v>0</v>
      </c>
      <c r="P71" s="353">
        <f t="shared" ref="P71:P77" si="52">O71</f>
        <v>0</v>
      </c>
      <c r="Q71" s="351">
        <f>BQ71</f>
        <v>0</v>
      </c>
      <c r="R71" s="352">
        <f>P68+Q68</f>
        <v>0</v>
      </c>
      <c r="S71" s="353">
        <f>R71</f>
        <v>0</v>
      </c>
      <c r="T71" s="351">
        <f>CD71</f>
        <v>0</v>
      </c>
      <c r="U71" s="354">
        <f>S71+T71</f>
        <v>0</v>
      </c>
      <c r="V71" s="328">
        <f>U71</f>
        <v>0</v>
      </c>
      <c r="W71" s="328">
        <f>CQ95</f>
        <v>0</v>
      </c>
      <c r="X71" s="355">
        <f>V71+W71</f>
        <v>0</v>
      </c>
      <c r="Y71" s="450" t="e">
        <f t="shared" si="47"/>
        <v>#VALUE!</v>
      </c>
      <c r="Z71" s="451">
        <f t="shared" si="48"/>
        <v>0</v>
      </c>
      <c r="AA71" s="451">
        <f t="shared" si="49"/>
        <v>0</v>
      </c>
      <c r="AB71" s="451">
        <f t="shared" si="50"/>
        <v>0</v>
      </c>
      <c r="AC71" s="450" t="e">
        <f t="shared" si="51"/>
        <v>#VALUE!</v>
      </c>
      <c r="AD71" s="450"/>
      <c r="AE71" s="450"/>
      <c r="AF71" s="450"/>
      <c r="AG71" s="450"/>
      <c r="AH71" s="356">
        <v>0</v>
      </c>
      <c r="AI71" s="334">
        <v>36</v>
      </c>
      <c r="AJ71" s="334" t="s">
        <v>1304</v>
      </c>
      <c r="AK71" s="334"/>
      <c r="AL71" s="334"/>
      <c r="AM71" s="334"/>
      <c r="AN71" s="334"/>
      <c r="AO71" s="334"/>
      <c r="AP71" s="334"/>
      <c r="AQ71" s="382" t="s">
        <v>70</v>
      </c>
      <c r="AR71" s="335"/>
      <c r="AS71" s="335"/>
      <c r="AT71" s="335"/>
      <c r="AU71" s="331"/>
      <c r="AV71" s="357"/>
      <c r="AW71" s="357"/>
      <c r="AX71" s="357"/>
      <c r="AY71" s="357"/>
      <c r="AZ71" s="357"/>
      <c r="BA71" s="357"/>
      <c r="BB71" s="357"/>
      <c r="BC71" s="357"/>
      <c r="BD71" s="357"/>
      <c r="BE71" s="357"/>
      <c r="BF71" s="357"/>
      <c r="BG71" s="357"/>
      <c r="BH71" s="358"/>
      <c r="BI71" s="357"/>
      <c r="BJ71" s="357"/>
      <c r="BK71" s="357"/>
      <c r="BL71" s="357"/>
      <c r="BM71" s="357"/>
      <c r="BN71" s="357"/>
      <c r="BO71" s="357"/>
      <c r="BP71" s="357"/>
      <c r="BQ71" s="357"/>
      <c r="BR71" s="357"/>
      <c r="BS71" s="357"/>
      <c r="BT71" s="357"/>
      <c r="BU71" s="357"/>
      <c r="BV71" s="357"/>
      <c r="BW71" s="357"/>
      <c r="BX71" s="357"/>
      <c r="BY71" s="357"/>
      <c r="BZ71" s="357"/>
      <c r="CA71" s="357"/>
      <c r="CB71" s="357"/>
      <c r="CC71" s="357"/>
      <c r="CD71" s="357"/>
      <c r="CE71" s="357"/>
      <c r="CF71" s="357"/>
      <c r="CG71" s="357"/>
      <c r="CH71" s="357"/>
      <c r="CI71" s="331"/>
      <c r="CJ71" s="331"/>
      <c r="CK71" s="331"/>
      <c r="CL71" s="331"/>
      <c r="CM71" s="331"/>
      <c r="CN71" s="331"/>
      <c r="CO71" s="331"/>
      <c r="CP71" s="331"/>
      <c r="CQ71" s="369"/>
      <c r="CR71" s="331"/>
      <c r="CS71" s="331"/>
      <c r="CT71" s="331"/>
      <c r="CU71" s="331"/>
      <c r="CV71" s="331"/>
      <c r="CW71" s="331"/>
      <c r="CX71" s="331"/>
      <c r="CY71" s="331"/>
      <c r="CZ71" s="331"/>
      <c r="DA71" s="331"/>
      <c r="DB71" s="331"/>
      <c r="DC71" s="331"/>
      <c r="DD71" s="331">
        <f t="shared" si="46"/>
        <v>0</v>
      </c>
      <c r="DE71" s="1"/>
      <c r="DF71" s="1"/>
      <c r="DG71" s="1"/>
      <c r="DH71" s="1"/>
      <c r="DI71" s="1"/>
      <c r="DJ71" s="1"/>
      <c r="DK71" s="1"/>
      <c r="DL71" s="1"/>
      <c r="DM71" s="1"/>
      <c r="DN71" s="1"/>
      <c r="DO71" s="1"/>
      <c r="DP71" s="1"/>
      <c r="DQ71" s="1"/>
    </row>
    <row r="72" spans="1:121" s="624" customFormat="1" ht="48.75" thickBot="1" x14ac:dyDescent="0.25">
      <c r="A72" s="832" t="s">
        <v>1423</v>
      </c>
      <c r="B72" s="832" t="s">
        <v>107</v>
      </c>
      <c r="C72" s="833" t="s">
        <v>1438</v>
      </c>
      <c r="D72" s="469" t="s">
        <v>1436</v>
      </c>
      <c r="E72" s="469"/>
      <c r="F72" s="469" t="s">
        <v>1447</v>
      </c>
      <c r="G72" s="469" t="s">
        <v>49</v>
      </c>
      <c r="H72" s="608" t="s">
        <v>328</v>
      </c>
      <c r="I72" s="608" t="s">
        <v>316</v>
      </c>
      <c r="J72" s="910">
        <v>45106</v>
      </c>
      <c r="K72" s="910">
        <v>46202</v>
      </c>
      <c r="L72" s="999" t="s">
        <v>493</v>
      </c>
      <c r="M72" s="905"/>
      <c r="N72" s="1000">
        <f>BD72</f>
        <v>0</v>
      </c>
      <c r="O72" s="1001">
        <f>N72+M72</f>
        <v>0</v>
      </c>
      <c r="P72" s="1002">
        <f t="shared" si="52"/>
        <v>0</v>
      </c>
      <c r="Q72" s="1000">
        <f>BQ72</f>
        <v>0</v>
      </c>
      <c r="R72" s="1001">
        <f>P46+Q46</f>
        <v>0</v>
      </c>
      <c r="S72" s="1002">
        <f>R72</f>
        <v>0</v>
      </c>
      <c r="T72" s="1000">
        <f>CD72</f>
        <v>0</v>
      </c>
      <c r="U72" s="1003">
        <f>S72+T72</f>
        <v>0</v>
      </c>
      <c r="V72" s="547">
        <f>U72</f>
        <v>0</v>
      </c>
      <c r="W72" s="547">
        <f>CQ73</f>
        <v>0</v>
      </c>
      <c r="X72" s="626">
        <f>V72+W72</f>
        <v>0</v>
      </c>
      <c r="Y72" s="929" t="e">
        <f t="shared" si="47"/>
        <v>#VALUE!</v>
      </c>
      <c r="Z72" s="930">
        <f t="shared" si="48"/>
        <v>0</v>
      </c>
      <c r="AA72" s="930">
        <f t="shared" si="49"/>
        <v>261758.82750000001</v>
      </c>
      <c r="AB72" s="930">
        <f t="shared" si="50"/>
        <v>261758.82750000001</v>
      </c>
      <c r="AC72" s="929" t="e">
        <f t="shared" si="51"/>
        <v>#VALUE!</v>
      </c>
      <c r="AD72" s="929"/>
      <c r="AE72" s="929"/>
      <c r="AF72" s="929"/>
      <c r="AG72" s="929"/>
      <c r="AH72" s="616">
        <v>0</v>
      </c>
      <c r="AI72" s="617">
        <v>36</v>
      </c>
      <c r="AJ72" s="617" t="s">
        <v>1304</v>
      </c>
      <c r="AK72" s="617">
        <v>0</v>
      </c>
      <c r="AL72" s="617">
        <v>0</v>
      </c>
      <c r="AM72" s="617" t="s">
        <v>53</v>
      </c>
      <c r="AN72" s="617" t="s">
        <v>53</v>
      </c>
      <c r="AO72" s="617" t="s">
        <v>53</v>
      </c>
      <c r="AP72" s="617" t="s">
        <v>54</v>
      </c>
      <c r="AQ72" s="608" t="s">
        <v>70</v>
      </c>
      <c r="AR72" s="617"/>
      <c r="AS72" s="617"/>
      <c r="AT72" s="617"/>
      <c r="AU72" s="469"/>
      <c r="AV72" s="618"/>
      <c r="AW72" s="618"/>
      <c r="AX72" s="618"/>
      <c r="AY72" s="618"/>
      <c r="AZ72" s="618"/>
      <c r="BA72" s="618"/>
      <c r="BB72" s="618"/>
      <c r="BC72" s="618"/>
      <c r="BD72" s="618"/>
      <c r="BE72" s="618"/>
      <c r="BF72" s="618"/>
      <c r="BG72" s="618"/>
      <c r="BH72" s="620"/>
      <c r="BI72" s="618"/>
      <c r="BJ72" s="618"/>
      <c r="BK72" s="618"/>
      <c r="BL72" s="618"/>
      <c r="BM72" s="618"/>
      <c r="BN72" s="618"/>
      <c r="BO72" s="618"/>
      <c r="BP72" s="618"/>
      <c r="BQ72" s="618"/>
      <c r="BR72" s="618"/>
      <c r="BS72" s="618"/>
      <c r="BT72" s="618"/>
      <c r="BU72" s="618"/>
      <c r="BV72" s="618"/>
      <c r="BW72" s="618"/>
      <c r="BX72" s="618"/>
      <c r="BY72" s="618"/>
      <c r="BZ72" s="618"/>
      <c r="CA72" s="618"/>
      <c r="CB72" s="618"/>
      <c r="CC72" s="618"/>
      <c r="CD72" s="618"/>
      <c r="CE72" s="618"/>
      <c r="CF72" s="618"/>
      <c r="CG72" s="618"/>
      <c r="CH72" s="618"/>
      <c r="CI72" s="469"/>
      <c r="CJ72" s="547"/>
      <c r="CK72" s="469"/>
      <c r="CL72" s="469"/>
      <c r="CM72" s="469"/>
      <c r="CN72" s="469"/>
      <c r="CO72" s="469"/>
      <c r="CP72" s="469"/>
      <c r="CQ72" s="661">
        <f>SUM(CE47:CP47)</f>
        <v>0</v>
      </c>
      <c r="CR72" s="469">
        <f>8512.67+24235.721</f>
        <v>32748.391000000003</v>
      </c>
      <c r="CS72" s="469">
        <f>14102.496+9688.52+3067.556+12756.0645+2436.988</f>
        <v>42051.624499999998</v>
      </c>
      <c r="CT72" s="469">
        <v>4486.3339999999998</v>
      </c>
      <c r="CU72" s="469">
        <v>15363.632</v>
      </c>
      <c r="CV72" s="469">
        <v>3540.482</v>
      </c>
      <c r="CW72" s="469">
        <v>22299.88</v>
      </c>
      <c r="CX72" s="469">
        <v>15706.424000000001</v>
      </c>
      <c r="CY72" s="469">
        <f>4771.994+9818.654</f>
        <v>14590.648000000001</v>
      </c>
      <c r="CZ72" s="469">
        <f>3762.662+4771.994+14085.982</f>
        <v>22620.637999999999</v>
      </c>
      <c r="DA72" s="469">
        <f>14360.648+9313.988</f>
        <v>23674.635999999999</v>
      </c>
      <c r="DB72" s="469">
        <v>12341.984</v>
      </c>
      <c r="DC72" s="469">
        <f>11837.318+29500.628+10996.208</f>
        <v>52334.153999999995</v>
      </c>
      <c r="DD72" s="469">
        <f>SUM(CR72:DC72)</f>
        <v>261758.82750000001</v>
      </c>
      <c r="DE72" s="469">
        <f>22665.3+24683.97</f>
        <v>47349.270000000004</v>
      </c>
      <c r="DF72" s="469">
        <f>13014.87+2248.66+12341.98+5506.66</f>
        <v>33112.17</v>
      </c>
      <c r="DG72" s="469"/>
      <c r="DH72" s="469">
        <v>13687.76</v>
      </c>
      <c r="DI72" s="469"/>
      <c r="DJ72" s="469"/>
      <c r="DK72" s="469">
        <v>23163.759999999998</v>
      </c>
      <c r="DL72" s="469">
        <f>6285.99+15280.28</f>
        <v>21566.27</v>
      </c>
      <c r="DM72" s="469">
        <f>3992.57+10135.18</f>
        <v>14127.75</v>
      </c>
      <c r="DN72" s="469">
        <f>13130.24+5067.59+3992.57</f>
        <v>22190.400000000001</v>
      </c>
      <c r="DO72" s="469">
        <f>16713.64+3455.06+18977.3+2185</f>
        <v>41331</v>
      </c>
      <c r="DP72" s="469">
        <f>37849.95+2524.25+12274.81+3244.73</f>
        <v>55893.74</v>
      </c>
      <c r="DQ72" s="469"/>
    </row>
    <row r="73" spans="1:121" s="624" customFormat="1" ht="48.75" thickBot="1" x14ac:dyDescent="0.25">
      <c r="A73" s="832"/>
      <c r="B73" s="832"/>
      <c r="C73" s="833"/>
      <c r="D73" s="664" t="s">
        <v>1339</v>
      </c>
      <c r="E73" s="664"/>
      <c r="F73" s="664" t="s">
        <v>1370</v>
      </c>
      <c r="G73" s="664" t="s">
        <v>49</v>
      </c>
      <c r="H73" s="745" t="s">
        <v>328</v>
      </c>
      <c r="I73" s="745" t="s">
        <v>316</v>
      </c>
      <c r="J73" s="706">
        <v>45107</v>
      </c>
      <c r="K73" s="706">
        <v>46203</v>
      </c>
      <c r="L73" s="1004" t="s">
        <v>493</v>
      </c>
      <c r="M73" s="908"/>
      <c r="N73" s="1005">
        <f>BD73</f>
        <v>0</v>
      </c>
      <c r="O73" s="1006">
        <f>N73+M73</f>
        <v>0</v>
      </c>
      <c r="P73" s="1007">
        <f t="shared" si="52"/>
        <v>0</v>
      </c>
      <c r="Q73" s="1005">
        <f>BQ73</f>
        <v>0</v>
      </c>
      <c r="R73" s="1006">
        <f>P47+Q47</f>
        <v>0</v>
      </c>
      <c r="S73" s="1007">
        <f>R73</f>
        <v>0</v>
      </c>
      <c r="T73" s="1005">
        <f>CD73</f>
        <v>0</v>
      </c>
      <c r="U73" s="1008">
        <f>S73+T73</f>
        <v>0</v>
      </c>
      <c r="V73" s="401">
        <f>U73</f>
        <v>0</v>
      </c>
      <c r="W73" s="401" t="e">
        <f>#REF!</f>
        <v>#REF!</v>
      </c>
      <c r="X73" s="1009" t="e">
        <f>V73+W73</f>
        <v>#REF!</v>
      </c>
      <c r="Y73" s="1010" t="e">
        <f t="shared" si="47"/>
        <v>#VALUE!</v>
      </c>
      <c r="Z73" s="1011" t="e">
        <f t="shared" si="48"/>
        <v>#REF!</v>
      </c>
      <c r="AA73" s="1011">
        <f t="shared" si="49"/>
        <v>0</v>
      </c>
      <c r="AB73" s="1011" t="e">
        <f t="shared" si="50"/>
        <v>#REF!</v>
      </c>
      <c r="AC73" s="1010" t="e">
        <f t="shared" si="51"/>
        <v>#VALUE!</v>
      </c>
      <c r="AD73" s="1010"/>
      <c r="AE73" s="1010"/>
      <c r="AF73" s="1010"/>
      <c r="AG73" s="1010"/>
      <c r="AH73" s="955">
        <v>0</v>
      </c>
      <c r="AI73" s="637">
        <v>36</v>
      </c>
      <c r="AJ73" s="637" t="s">
        <v>1304</v>
      </c>
      <c r="AK73" s="637">
        <v>0</v>
      </c>
      <c r="AL73" s="637">
        <v>0</v>
      </c>
      <c r="AM73" s="637" t="s">
        <v>53</v>
      </c>
      <c r="AN73" s="637" t="s">
        <v>53</v>
      </c>
      <c r="AO73" s="637" t="s">
        <v>53</v>
      </c>
      <c r="AP73" s="637" t="s">
        <v>54</v>
      </c>
      <c r="AQ73" s="745" t="s">
        <v>70</v>
      </c>
      <c r="AR73" s="637"/>
      <c r="AS73" s="637"/>
      <c r="AT73" s="637"/>
      <c r="AU73" s="664"/>
      <c r="AV73" s="667"/>
      <c r="AW73" s="667"/>
      <c r="AX73" s="667"/>
      <c r="AY73" s="667"/>
      <c r="AZ73" s="667"/>
      <c r="BA73" s="667"/>
      <c r="BB73" s="667"/>
      <c r="BC73" s="667"/>
      <c r="BD73" s="667"/>
      <c r="BE73" s="667"/>
      <c r="BF73" s="667"/>
      <c r="BG73" s="667"/>
      <c r="BH73" s="749"/>
      <c r="BI73" s="667"/>
      <c r="BJ73" s="667"/>
      <c r="BK73" s="667"/>
      <c r="BL73" s="667"/>
      <c r="BM73" s="667"/>
      <c r="BN73" s="667"/>
      <c r="BO73" s="667"/>
      <c r="BP73" s="667"/>
      <c r="BQ73" s="667"/>
      <c r="BR73" s="667"/>
      <c r="BS73" s="667"/>
      <c r="BT73" s="667"/>
      <c r="BU73" s="667"/>
      <c r="BV73" s="667"/>
      <c r="BW73" s="667"/>
      <c r="BX73" s="667"/>
      <c r="BY73" s="667"/>
      <c r="BZ73" s="667"/>
      <c r="CA73" s="667"/>
      <c r="CB73" s="667"/>
      <c r="CC73" s="667"/>
      <c r="CD73" s="667"/>
      <c r="CE73" s="667"/>
      <c r="CF73" s="667"/>
      <c r="CG73" s="667"/>
      <c r="CH73" s="667"/>
      <c r="CI73" s="664"/>
      <c r="CJ73" s="401"/>
      <c r="CK73" s="664"/>
      <c r="CL73" s="664"/>
      <c r="CM73" s="664"/>
      <c r="CN73" s="664"/>
      <c r="CO73" s="664"/>
      <c r="CP73" s="664"/>
      <c r="CQ73" s="751">
        <f>SUM(CE72:CP72)</f>
        <v>0</v>
      </c>
      <c r="CR73" s="664"/>
      <c r="CS73" s="664"/>
      <c r="CT73" s="664"/>
      <c r="CU73" s="664"/>
      <c r="CV73" s="664"/>
      <c r="CW73" s="664"/>
      <c r="CX73" s="664"/>
      <c r="CY73" s="664"/>
      <c r="CZ73" s="664"/>
      <c r="DA73" s="664"/>
      <c r="DB73" s="664"/>
      <c r="DC73" s="664"/>
      <c r="DD73" s="664">
        <f t="shared" si="46"/>
        <v>0</v>
      </c>
      <c r="DE73" s="469"/>
      <c r="DF73" s="469"/>
      <c r="DG73" s="469"/>
      <c r="DH73" s="469"/>
      <c r="DI73" s="469"/>
      <c r="DJ73" s="469"/>
      <c r="DK73" s="469"/>
      <c r="DL73" s="469"/>
      <c r="DM73" s="469"/>
      <c r="DN73" s="469"/>
      <c r="DO73" s="469">
        <v>5513.74</v>
      </c>
      <c r="DP73" s="469"/>
      <c r="DQ73" s="469"/>
    </row>
    <row r="74" spans="1:121" ht="48.75" thickBot="1" x14ac:dyDescent="0.25">
      <c r="A74" s="832"/>
      <c r="B74" s="832"/>
      <c r="C74" s="833"/>
      <c r="D74" s="331" t="s">
        <v>428</v>
      </c>
      <c r="E74" s="331"/>
      <c r="F74" s="331" t="s">
        <v>429</v>
      </c>
      <c r="G74" s="331" t="s">
        <v>49</v>
      </c>
      <c r="H74" s="383" t="s">
        <v>328</v>
      </c>
      <c r="I74" s="383" t="s">
        <v>316</v>
      </c>
      <c r="J74" s="402">
        <v>45108</v>
      </c>
      <c r="K74" s="402">
        <v>46204</v>
      </c>
      <c r="L74" s="349" t="s">
        <v>493</v>
      </c>
      <c r="M74" s="350"/>
      <c r="N74" s="351">
        <f>BD74</f>
        <v>0</v>
      </c>
      <c r="O74" s="352">
        <f>N74+M74</f>
        <v>0</v>
      </c>
      <c r="P74" s="353">
        <f t="shared" si="52"/>
        <v>0</v>
      </c>
      <c r="Q74" s="351">
        <f>BQ74</f>
        <v>0</v>
      </c>
      <c r="R74" s="352">
        <f>P72+Q72</f>
        <v>0</v>
      </c>
      <c r="S74" s="353">
        <f>R74</f>
        <v>0</v>
      </c>
      <c r="T74" s="351">
        <f>CD74</f>
        <v>0</v>
      </c>
      <c r="U74" s="354">
        <f>S74+T74</f>
        <v>0</v>
      </c>
      <c r="V74" s="328">
        <f>U74</f>
        <v>0</v>
      </c>
      <c r="W74" s="328">
        <f>CQ74</f>
        <v>0</v>
      </c>
      <c r="X74" s="355">
        <f>V74+W74</f>
        <v>0</v>
      </c>
      <c r="Y74" s="450" t="e">
        <f t="shared" si="47"/>
        <v>#VALUE!</v>
      </c>
      <c r="Z74" s="451">
        <f t="shared" si="48"/>
        <v>0</v>
      </c>
      <c r="AA74" s="451">
        <f t="shared" si="49"/>
        <v>0</v>
      </c>
      <c r="AB74" s="451">
        <f t="shared" si="50"/>
        <v>0</v>
      </c>
      <c r="AC74" s="450" t="e">
        <f t="shared" si="51"/>
        <v>#VALUE!</v>
      </c>
      <c r="AD74" s="450"/>
      <c r="AE74" s="450"/>
      <c r="AF74" s="450"/>
      <c r="AG74" s="450"/>
      <c r="AH74" s="356">
        <v>0</v>
      </c>
      <c r="AI74" s="334">
        <v>36</v>
      </c>
      <c r="AJ74" s="334" t="s">
        <v>1304</v>
      </c>
      <c r="AK74" s="334">
        <v>0</v>
      </c>
      <c r="AL74" s="334">
        <v>0</v>
      </c>
      <c r="AM74" s="334" t="s">
        <v>53</v>
      </c>
      <c r="AN74" s="334" t="s">
        <v>53</v>
      </c>
      <c r="AO74" s="334" t="s">
        <v>53</v>
      </c>
      <c r="AP74" s="334" t="s">
        <v>54</v>
      </c>
      <c r="AQ74" s="382" t="s">
        <v>70</v>
      </c>
      <c r="AR74" s="335"/>
      <c r="AS74" s="335"/>
      <c r="AT74" s="335"/>
      <c r="AU74" s="331"/>
      <c r="AV74" s="357"/>
      <c r="AW74" s="357"/>
      <c r="AX74" s="357"/>
      <c r="AY74" s="357"/>
      <c r="AZ74" s="357"/>
      <c r="BA74" s="357"/>
      <c r="BB74" s="357"/>
      <c r="BC74" s="357"/>
      <c r="BD74" s="357"/>
      <c r="BE74" s="357"/>
      <c r="BF74" s="357"/>
      <c r="BG74" s="357"/>
      <c r="BH74" s="358"/>
      <c r="BI74" s="357"/>
      <c r="BJ74" s="357"/>
      <c r="BK74" s="357"/>
      <c r="BL74" s="357"/>
      <c r="BM74" s="357"/>
      <c r="BN74" s="357"/>
      <c r="BO74" s="357"/>
      <c r="BP74" s="357"/>
      <c r="BQ74" s="357"/>
      <c r="BR74" s="357"/>
      <c r="BS74" s="357"/>
      <c r="BT74" s="357"/>
      <c r="BU74" s="357"/>
      <c r="BV74" s="357"/>
      <c r="BW74" s="357"/>
      <c r="BX74" s="357"/>
      <c r="BY74" s="357"/>
      <c r="BZ74" s="357"/>
      <c r="CA74" s="357"/>
      <c r="CB74" s="357"/>
      <c r="CC74" s="357"/>
      <c r="CD74" s="357"/>
      <c r="CE74" s="357"/>
      <c r="CF74" s="357"/>
      <c r="CG74" s="357"/>
      <c r="CH74" s="357"/>
      <c r="CI74" s="331"/>
      <c r="CJ74" s="328"/>
      <c r="CK74" s="331"/>
      <c r="CL74" s="331"/>
      <c r="CM74" s="331"/>
      <c r="CN74" s="331"/>
      <c r="CO74" s="331"/>
      <c r="CP74" s="331"/>
      <c r="CQ74" s="369">
        <f>SUM(CE73:CP73)</f>
        <v>0</v>
      </c>
      <c r="CR74" s="331"/>
      <c r="CS74" s="331"/>
      <c r="CT74" s="331"/>
      <c r="CU74" s="331"/>
      <c r="CV74" s="331"/>
      <c r="CW74" s="331"/>
      <c r="CX74" s="331"/>
      <c r="CY74" s="331"/>
      <c r="CZ74" s="331"/>
      <c r="DA74" s="331"/>
      <c r="DB74" s="331"/>
      <c r="DC74" s="331"/>
      <c r="DD74" s="331">
        <f t="shared" si="46"/>
        <v>0</v>
      </c>
      <c r="DE74" s="1"/>
      <c r="DF74" s="1"/>
      <c r="DG74" s="1"/>
      <c r="DH74" s="1"/>
      <c r="DI74" s="1"/>
      <c r="DJ74" s="1"/>
      <c r="DK74" s="1"/>
      <c r="DL74" s="1"/>
      <c r="DM74" s="1"/>
      <c r="DN74" s="1"/>
      <c r="DO74" s="1"/>
      <c r="DP74" s="1"/>
      <c r="DQ74" s="1"/>
    </row>
    <row r="75" spans="1:121" ht="48.75" thickBot="1" x14ac:dyDescent="0.25">
      <c r="A75" s="832"/>
      <c r="B75" s="832"/>
      <c r="C75" s="833"/>
      <c r="D75" s="331" t="s">
        <v>1437</v>
      </c>
      <c r="E75" s="331"/>
      <c r="F75" s="331" t="s">
        <v>1446</v>
      </c>
      <c r="G75" s="359"/>
      <c r="H75" s="359"/>
      <c r="I75" s="359"/>
      <c r="J75" s="359"/>
      <c r="K75" s="359"/>
      <c r="L75" s="359"/>
      <c r="M75" s="350"/>
      <c r="N75" s="351">
        <f>BD75</f>
        <v>0</v>
      </c>
      <c r="O75" s="352">
        <f>N75+M75</f>
        <v>0</v>
      </c>
      <c r="P75" s="353">
        <f t="shared" si="52"/>
        <v>0</v>
      </c>
      <c r="Q75" s="351">
        <f>BQ75</f>
        <v>0</v>
      </c>
      <c r="R75" s="352">
        <f>P73+Q73</f>
        <v>0</v>
      </c>
      <c r="S75" s="353">
        <f>R75</f>
        <v>0</v>
      </c>
      <c r="T75" s="351">
        <f>CD75</f>
        <v>0</v>
      </c>
      <c r="U75" s="354">
        <f>S75+T75</f>
        <v>0</v>
      </c>
      <c r="V75" s="328">
        <f>U75</f>
        <v>0</v>
      </c>
      <c r="W75" s="328">
        <f>CQ75</f>
        <v>0</v>
      </c>
      <c r="X75" s="355">
        <f>V75+W75</f>
        <v>0</v>
      </c>
      <c r="Y75" s="450">
        <f t="shared" si="47"/>
        <v>0</v>
      </c>
      <c r="Z75" s="459">
        <f>X75</f>
        <v>0</v>
      </c>
      <c r="AA75" s="451">
        <f t="shared" si="49"/>
        <v>0</v>
      </c>
      <c r="AB75" s="451">
        <f t="shared" si="50"/>
        <v>0</v>
      </c>
      <c r="AC75" s="450"/>
      <c r="AD75" s="450"/>
      <c r="AE75" s="450"/>
      <c r="AF75" s="450"/>
      <c r="AG75" s="450"/>
      <c r="AH75" s="356">
        <v>0</v>
      </c>
      <c r="AI75" s="334">
        <v>36</v>
      </c>
      <c r="AJ75" s="334" t="s">
        <v>1304</v>
      </c>
      <c r="AK75" s="334">
        <v>0</v>
      </c>
      <c r="AL75" s="334">
        <v>0</v>
      </c>
      <c r="AM75" s="334" t="s">
        <v>53</v>
      </c>
      <c r="AN75" s="334" t="s">
        <v>53</v>
      </c>
      <c r="AO75" s="334" t="s">
        <v>53</v>
      </c>
      <c r="AP75" s="334" t="s">
        <v>54</v>
      </c>
      <c r="AQ75" s="382" t="s">
        <v>70</v>
      </c>
      <c r="AR75" s="335"/>
      <c r="AS75" s="335"/>
      <c r="AT75" s="335"/>
      <c r="AU75" s="331"/>
      <c r="AV75" s="357"/>
      <c r="AW75" s="357"/>
      <c r="AX75" s="357"/>
      <c r="AY75" s="357"/>
      <c r="AZ75" s="357"/>
      <c r="BA75" s="357"/>
      <c r="BB75" s="357"/>
      <c r="BC75" s="357"/>
      <c r="BD75" s="357"/>
      <c r="BE75" s="357"/>
      <c r="BF75" s="357"/>
      <c r="BG75" s="357"/>
      <c r="BH75" s="358"/>
      <c r="BI75" s="357"/>
      <c r="BJ75" s="357"/>
      <c r="BK75" s="357"/>
      <c r="BL75" s="357"/>
      <c r="BM75" s="357"/>
      <c r="BN75" s="357"/>
      <c r="BO75" s="357"/>
      <c r="BP75" s="357"/>
      <c r="BQ75" s="357"/>
      <c r="BR75" s="357"/>
      <c r="BS75" s="357"/>
      <c r="BT75" s="357"/>
      <c r="BU75" s="357"/>
      <c r="BV75" s="357"/>
      <c r="BW75" s="357"/>
      <c r="BX75" s="357"/>
      <c r="BY75" s="357"/>
      <c r="BZ75" s="357"/>
      <c r="CA75" s="357"/>
      <c r="CB75" s="357"/>
      <c r="CC75" s="357"/>
      <c r="CD75" s="357"/>
      <c r="CE75" s="357"/>
      <c r="CF75" s="357"/>
      <c r="CG75" s="357"/>
      <c r="CH75" s="357"/>
      <c r="CI75" s="331"/>
      <c r="CJ75" s="328"/>
      <c r="CK75" s="331"/>
      <c r="CL75" s="331"/>
      <c r="CM75" s="331"/>
      <c r="CN75" s="331"/>
      <c r="CO75" s="331"/>
      <c r="CP75" s="331"/>
      <c r="CQ75" s="369">
        <f>SUM(CE74:CP74)</f>
        <v>0</v>
      </c>
      <c r="CR75" s="331"/>
      <c r="CS75" s="331"/>
      <c r="CT75" s="331"/>
      <c r="CU75" s="331"/>
      <c r="CV75" s="331"/>
      <c r="CW75" s="331"/>
      <c r="CX75" s="331"/>
      <c r="CY75" s="331"/>
      <c r="CZ75" s="331"/>
      <c r="DA75" s="331"/>
      <c r="DB75" s="331"/>
      <c r="DC75" s="331"/>
      <c r="DD75" s="331">
        <f t="shared" si="46"/>
        <v>0</v>
      </c>
      <c r="DE75" s="1"/>
      <c r="DF75" s="1"/>
      <c r="DG75" s="1"/>
      <c r="DH75" s="1"/>
      <c r="DI75" s="1"/>
      <c r="DJ75" s="1"/>
      <c r="DK75" s="1"/>
      <c r="DL75" s="1"/>
      <c r="DM75" s="1"/>
      <c r="DN75" s="1"/>
      <c r="DO75" s="1"/>
      <c r="DP75" s="1"/>
      <c r="DQ75" s="1"/>
    </row>
    <row r="76" spans="1:121" ht="12.75" thickBot="1" x14ac:dyDescent="0.25">
      <c r="A76" s="359"/>
      <c r="B76" s="359"/>
      <c r="C76" s="371" t="s">
        <v>1522</v>
      </c>
      <c r="D76" s="359"/>
      <c r="E76" s="359"/>
      <c r="F76" s="359"/>
      <c r="G76" s="331" t="s">
        <v>49</v>
      </c>
      <c r="H76" s="383" t="s">
        <v>328</v>
      </c>
      <c r="I76" s="383" t="s">
        <v>316</v>
      </c>
      <c r="J76" s="402">
        <v>45109</v>
      </c>
      <c r="K76" s="402">
        <v>46205</v>
      </c>
      <c r="L76" s="349" t="s">
        <v>493</v>
      </c>
      <c r="M76" s="444"/>
      <c r="N76" s="444"/>
      <c r="O76" s="444"/>
      <c r="P76" s="353">
        <f t="shared" si="52"/>
        <v>0</v>
      </c>
      <c r="Q76" s="444"/>
      <c r="R76" s="444"/>
      <c r="S76" s="444"/>
      <c r="T76" s="444"/>
      <c r="U76" s="444"/>
      <c r="V76" s="444"/>
      <c r="W76" s="444"/>
      <c r="X76" s="444"/>
      <c r="Y76" s="444"/>
      <c r="Z76" s="459">
        <f t="shared" ref="Z76:Z139" si="53">X76</f>
        <v>0</v>
      </c>
      <c r="AA76" s="451">
        <f t="shared" si="49"/>
        <v>0</v>
      </c>
      <c r="AB76" s="451">
        <f t="shared" si="50"/>
        <v>0</v>
      </c>
      <c r="AC76" s="450" t="e">
        <f t="shared" si="51"/>
        <v>#VALUE!</v>
      </c>
      <c r="AD76" s="652"/>
      <c r="AE76" s="652"/>
      <c r="AF76" s="652"/>
      <c r="AG76" s="652"/>
      <c r="AH76" s="359"/>
      <c r="AI76" s="334">
        <v>36</v>
      </c>
      <c r="AJ76" s="334" t="s">
        <v>1304</v>
      </c>
      <c r="AK76" s="334">
        <v>0</v>
      </c>
      <c r="AL76" s="334">
        <v>0</v>
      </c>
      <c r="AM76" s="334" t="s">
        <v>53</v>
      </c>
      <c r="AN76" s="334" t="s">
        <v>53</v>
      </c>
      <c r="AO76" s="334" t="s">
        <v>53</v>
      </c>
      <c r="AP76" s="334" t="s">
        <v>54</v>
      </c>
      <c r="AQ76" s="359"/>
      <c r="AR76" s="446"/>
      <c r="AS76" s="409"/>
      <c r="AT76" s="409"/>
      <c r="AU76" s="409"/>
      <c r="AV76" s="409"/>
      <c r="AW76" s="409"/>
      <c r="AX76" s="409"/>
      <c r="AY76" s="409"/>
      <c r="AZ76" s="409"/>
      <c r="BA76" s="409"/>
      <c r="BB76" s="409"/>
      <c r="BC76" s="409"/>
      <c r="BD76" s="417"/>
      <c r="BE76" s="409"/>
      <c r="BF76" s="409"/>
      <c r="BG76" s="409"/>
      <c r="BH76" s="409"/>
      <c r="BI76" s="409"/>
      <c r="BJ76" s="409"/>
      <c r="BK76" s="409"/>
      <c r="BL76" s="409"/>
      <c r="BM76" s="409"/>
      <c r="BN76" s="409"/>
      <c r="BO76" s="409"/>
      <c r="BP76" s="409"/>
      <c r="BQ76" s="411"/>
      <c r="BR76" s="409"/>
      <c r="BS76" s="409"/>
      <c r="BT76" s="409"/>
      <c r="BU76" s="409"/>
      <c r="BV76" s="409"/>
      <c r="BW76" s="409"/>
      <c r="BX76" s="409"/>
      <c r="BY76" s="409"/>
      <c r="BZ76" s="409"/>
      <c r="CA76" s="409"/>
      <c r="CB76" s="409"/>
      <c r="CC76" s="409"/>
      <c r="CD76" s="409"/>
      <c r="CE76" s="359"/>
      <c r="CF76" s="359"/>
      <c r="CG76" s="359"/>
      <c r="CH76" s="359"/>
      <c r="CI76" s="359"/>
      <c r="CJ76" s="359"/>
      <c r="CK76" s="359"/>
      <c r="CL76" s="359"/>
      <c r="CM76" s="359"/>
      <c r="CN76" s="359"/>
      <c r="CO76" s="359"/>
      <c r="CP76" s="359"/>
      <c r="CQ76" s="359"/>
      <c r="CR76" s="359"/>
      <c r="CS76" s="359"/>
      <c r="CT76" s="359"/>
      <c r="CU76" s="359"/>
      <c r="CV76" s="359"/>
      <c r="CW76" s="359"/>
      <c r="CX76" s="359"/>
      <c r="CY76" s="359"/>
      <c r="CZ76" s="359"/>
      <c r="DA76" s="359"/>
      <c r="DB76" s="359"/>
      <c r="DC76" s="359"/>
      <c r="DD76" s="331">
        <f t="shared" si="46"/>
        <v>0</v>
      </c>
      <c r="DE76" s="1"/>
      <c r="DF76" s="1"/>
      <c r="DG76" s="1"/>
      <c r="DH76" s="1"/>
      <c r="DI76" s="1"/>
      <c r="DJ76" s="1"/>
      <c r="DK76" s="1"/>
      <c r="DL76" s="1"/>
      <c r="DM76" s="1"/>
      <c r="DN76" s="1"/>
      <c r="DO76" s="1"/>
      <c r="DP76" s="1"/>
      <c r="DQ76" s="1"/>
    </row>
    <row r="77" spans="1:121" x14ac:dyDescent="0.2">
      <c r="A77" s="359"/>
      <c r="B77" s="359"/>
      <c r="C77" s="359"/>
      <c r="D77" s="359"/>
      <c r="E77" s="359"/>
      <c r="F77" s="359"/>
      <c r="G77" s="407" t="s">
        <v>49</v>
      </c>
      <c r="H77" s="439" t="s">
        <v>328</v>
      </c>
      <c r="I77" s="439" t="s">
        <v>316</v>
      </c>
      <c r="J77" s="380">
        <v>45109</v>
      </c>
      <c r="K77" s="380">
        <v>46205</v>
      </c>
      <c r="L77" s="455" t="s">
        <v>493</v>
      </c>
      <c r="M77" s="444"/>
      <c r="N77" s="444"/>
      <c r="O77" s="444"/>
      <c r="P77" s="440">
        <f t="shared" si="52"/>
        <v>0</v>
      </c>
      <c r="Q77" s="444"/>
      <c r="R77" s="444"/>
      <c r="S77" s="444"/>
      <c r="T77" s="444"/>
      <c r="U77" s="444"/>
      <c r="V77" s="444"/>
      <c r="W77" s="444"/>
      <c r="X77" s="444"/>
      <c r="Y77" s="444"/>
      <c r="Z77" s="459">
        <f t="shared" si="53"/>
        <v>0</v>
      </c>
      <c r="AA77" s="451">
        <f t="shared" si="49"/>
        <v>0</v>
      </c>
      <c r="AB77" s="451">
        <f t="shared" si="50"/>
        <v>0</v>
      </c>
      <c r="AC77" s="450" t="e">
        <f t="shared" si="51"/>
        <v>#VALUE!</v>
      </c>
      <c r="AD77" s="652"/>
      <c r="AE77" s="652"/>
      <c r="AF77" s="652"/>
      <c r="AG77" s="652"/>
      <c r="AH77" s="359"/>
      <c r="AI77" s="334">
        <v>36</v>
      </c>
      <c r="AJ77" s="334" t="s">
        <v>1304</v>
      </c>
      <c r="AK77" s="334">
        <v>0</v>
      </c>
      <c r="AL77" s="334">
        <v>0</v>
      </c>
      <c r="AM77" s="334" t="s">
        <v>53</v>
      </c>
      <c r="AN77" s="334" t="s">
        <v>53</v>
      </c>
      <c r="AO77" s="334" t="s">
        <v>53</v>
      </c>
      <c r="AP77" s="334" t="s">
        <v>54</v>
      </c>
      <c r="AQ77" s="359"/>
      <c r="AR77" s="446"/>
      <c r="AS77" s="409"/>
      <c r="AT77" s="409"/>
      <c r="AU77" s="409"/>
      <c r="AV77" s="409"/>
      <c r="AW77" s="409"/>
      <c r="AX77" s="409"/>
      <c r="AY77" s="409"/>
      <c r="AZ77" s="409"/>
      <c r="BA77" s="409"/>
      <c r="BB77" s="409"/>
      <c r="BC77" s="409"/>
      <c r="BD77" s="417"/>
      <c r="BE77" s="409"/>
      <c r="BF77" s="409"/>
      <c r="BG77" s="409"/>
      <c r="BH77" s="409"/>
      <c r="BI77" s="409"/>
      <c r="BJ77" s="409"/>
      <c r="BK77" s="409"/>
      <c r="BL77" s="409"/>
      <c r="BM77" s="409"/>
      <c r="BN77" s="409"/>
      <c r="BO77" s="409"/>
      <c r="BP77" s="409"/>
      <c r="BQ77" s="411"/>
      <c r="BR77" s="409"/>
      <c r="BS77" s="409"/>
      <c r="BT77" s="409"/>
      <c r="BU77" s="409"/>
      <c r="BV77" s="409"/>
      <c r="BW77" s="409"/>
      <c r="BX77" s="409"/>
      <c r="BY77" s="409"/>
      <c r="BZ77" s="409"/>
      <c r="CA77" s="409"/>
      <c r="CB77" s="409"/>
      <c r="CC77" s="409"/>
      <c r="CD77" s="409"/>
      <c r="CE77" s="359"/>
      <c r="CF77" s="359"/>
      <c r="CG77" s="359"/>
      <c r="CH77" s="359"/>
      <c r="CI77" s="359"/>
      <c r="CJ77" s="359"/>
      <c r="CK77" s="359"/>
      <c r="CL77" s="359"/>
      <c r="CM77" s="359"/>
      <c r="CN77" s="359"/>
      <c r="CO77" s="359"/>
      <c r="CP77" s="359"/>
      <c r="CQ77" s="359"/>
      <c r="CR77" s="359"/>
      <c r="CS77" s="359"/>
      <c r="CT77" s="359"/>
      <c r="CU77" s="359"/>
      <c r="CV77" s="359"/>
      <c r="CW77" s="359"/>
      <c r="CX77" s="359"/>
      <c r="CY77" s="359"/>
      <c r="CZ77" s="359"/>
      <c r="DA77" s="359"/>
      <c r="DB77" s="359"/>
      <c r="DC77" s="359"/>
      <c r="DD77" s="407">
        <f t="shared" si="46"/>
        <v>0</v>
      </c>
      <c r="DE77" s="1"/>
      <c r="DF77" s="1"/>
      <c r="DG77" s="1"/>
      <c r="DH77" s="1"/>
      <c r="DI77" s="1"/>
      <c r="DJ77" s="1"/>
      <c r="DK77" s="1"/>
      <c r="DL77" s="1"/>
      <c r="DM77" s="1"/>
      <c r="DN77" s="1"/>
      <c r="DO77" s="1"/>
      <c r="DP77" s="1"/>
      <c r="DQ77" s="1"/>
    </row>
    <row r="78" spans="1:121" x14ac:dyDescent="0.2">
      <c r="A78" s="829" t="s">
        <v>1431</v>
      </c>
      <c r="B78" s="832" t="s">
        <v>45</v>
      </c>
      <c r="C78" s="829" t="s">
        <v>1613</v>
      </c>
      <c r="D78" s="443" t="s">
        <v>1525</v>
      </c>
      <c r="E78" s="443"/>
      <c r="F78" s="331"/>
      <c r="G78" s="331" t="s">
        <v>49</v>
      </c>
      <c r="H78" s="383" t="s">
        <v>328</v>
      </c>
      <c r="I78" s="383" t="s">
        <v>316</v>
      </c>
      <c r="J78" s="402">
        <v>45109</v>
      </c>
      <c r="K78" s="402">
        <v>46205</v>
      </c>
      <c r="L78" s="457" t="s">
        <v>493</v>
      </c>
      <c r="M78" s="355"/>
      <c r="N78" s="355"/>
      <c r="O78" s="355"/>
      <c r="P78" s="458"/>
      <c r="Q78" s="355"/>
      <c r="R78" s="355"/>
      <c r="S78" s="355"/>
      <c r="T78" s="355"/>
      <c r="U78" s="355"/>
      <c r="V78" s="355"/>
      <c r="W78" s="355"/>
      <c r="X78" s="355"/>
      <c r="Y78" s="355"/>
      <c r="Z78" s="459">
        <f t="shared" si="53"/>
        <v>0</v>
      </c>
      <c r="AA78" s="451">
        <f t="shared" si="49"/>
        <v>0</v>
      </c>
      <c r="AB78" s="451">
        <f t="shared" si="50"/>
        <v>0</v>
      </c>
      <c r="AC78" s="450" t="e">
        <f t="shared" si="51"/>
        <v>#VALUE!</v>
      </c>
      <c r="AD78" s="450"/>
      <c r="AE78" s="450"/>
      <c r="AF78" s="450"/>
      <c r="AG78" s="450"/>
      <c r="AH78" s="331"/>
      <c r="AI78" s="334">
        <v>36</v>
      </c>
      <c r="AJ78" s="334" t="s">
        <v>1304</v>
      </c>
      <c r="AK78" s="334">
        <v>0</v>
      </c>
      <c r="AL78" s="334">
        <v>0</v>
      </c>
      <c r="AM78" s="334" t="s">
        <v>53</v>
      </c>
      <c r="AN78" s="334" t="s">
        <v>53</v>
      </c>
      <c r="AO78" s="334" t="s">
        <v>53</v>
      </c>
      <c r="AP78" s="334" t="s">
        <v>54</v>
      </c>
      <c r="AQ78" s="331"/>
      <c r="AR78" s="357"/>
      <c r="AS78" s="357"/>
      <c r="AT78" s="357"/>
      <c r="AU78" s="357"/>
      <c r="AV78" s="357"/>
      <c r="AW78" s="357"/>
      <c r="AX78" s="357"/>
      <c r="AY78" s="357"/>
      <c r="AZ78" s="357"/>
      <c r="BA78" s="357"/>
      <c r="BB78" s="357"/>
      <c r="BC78" s="357"/>
      <c r="BD78" s="358"/>
      <c r="BE78" s="357"/>
      <c r="BF78" s="357"/>
      <c r="BG78" s="357"/>
      <c r="BH78" s="357"/>
      <c r="BI78" s="357"/>
      <c r="BJ78" s="357"/>
      <c r="BK78" s="357"/>
      <c r="BL78" s="357"/>
      <c r="BM78" s="357"/>
      <c r="BN78" s="357"/>
      <c r="BO78" s="357"/>
      <c r="BP78" s="357"/>
      <c r="BQ78" s="390"/>
      <c r="BR78" s="357"/>
      <c r="BS78" s="357"/>
      <c r="BT78" s="357"/>
      <c r="BU78" s="357"/>
      <c r="BV78" s="357"/>
      <c r="BW78" s="357"/>
      <c r="BX78" s="357"/>
      <c r="BY78" s="357"/>
      <c r="BZ78" s="357"/>
      <c r="CA78" s="357"/>
      <c r="CB78" s="357"/>
      <c r="CC78" s="357"/>
      <c r="CD78" s="357"/>
      <c r="CE78" s="331"/>
      <c r="CF78" s="331"/>
      <c r="CG78" s="331"/>
      <c r="CH78" s="331"/>
      <c r="CI78" s="331"/>
      <c r="CJ78" s="331"/>
      <c r="CK78" s="331"/>
      <c r="CL78" s="331"/>
      <c r="CM78" s="331"/>
      <c r="CN78" s="331"/>
      <c r="CO78" s="331"/>
      <c r="CP78" s="331"/>
      <c r="CQ78" s="331"/>
      <c r="CR78" s="331"/>
      <c r="CS78" s="331"/>
      <c r="CT78" s="331"/>
      <c r="CU78" s="331"/>
      <c r="CV78" s="331"/>
      <c r="CW78" s="331"/>
      <c r="CX78" s="331"/>
      <c r="CY78" s="331"/>
      <c r="CZ78" s="331"/>
      <c r="DA78" s="331"/>
      <c r="DB78" s="331"/>
      <c r="DC78" s="331"/>
      <c r="DD78" s="331"/>
      <c r="DE78" s="1"/>
      <c r="DF78" s="1"/>
      <c r="DG78" s="1"/>
      <c r="DH78" s="1"/>
      <c r="DI78" s="1"/>
      <c r="DJ78" s="1"/>
      <c r="DK78" s="1"/>
      <c r="DL78" s="1"/>
      <c r="DM78" s="1"/>
      <c r="DN78" s="1"/>
      <c r="DO78" s="1"/>
      <c r="DP78" s="1"/>
      <c r="DQ78" s="1"/>
    </row>
    <row r="79" spans="1:121" x14ac:dyDescent="0.2">
      <c r="A79" s="830"/>
      <c r="B79" s="832"/>
      <c r="C79" s="830"/>
      <c r="D79" s="443" t="s">
        <v>1526</v>
      </c>
      <c r="E79" s="443"/>
      <c r="F79" s="331"/>
      <c r="G79" s="331" t="s">
        <v>49</v>
      </c>
      <c r="H79" s="383" t="s">
        <v>328</v>
      </c>
      <c r="I79" s="383" t="s">
        <v>316</v>
      </c>
      <c r="J79" s="402">
        <v>45109</v>
      </c>
      <c r="K79" s="402">
        <v>46205</v>
      </c>
      <c r="L79" s="457" t="s">
        <v>493</v>
      </c>
      <c r="M79" s="355"/>
      <c r="N79" s="355"/>
      <c r="O79" s="355"/>
      <c r="P79" s="458"/>
      <c r="Q79" s="355"/>
      <c r="R79" s="355"/>
      <c r="S79" s="355"/>
      <c r="T79" s="355"/>
      <c r="U79" s="355"/>
      <c r="V79" s="355"/>
      <c r="W79" s="355"/>
      <c r="X79" s="355"/>
      <c r="Y79" s="355"/>
      <c r="Z79" s="459">
        <f t="shared" si="53"/>
        <v>0</v>
      </c>
      <c r="AA79" s="451">
        <f t="shared" si="49"/>
        <v>0</v>
      </c>
      <c r="AB79" s="451">
        <f t="shared" si="50"/>
        <v>0</v>
      </c>
      <c r="AC79" s="450" t="e">
        <f t="shared" si="51"/>
        <v>#VALUE!</v>
      </c>
      <c r="AD79" s="450"/>
      <c r="AE79" s="450"/>
      <c r="AF79" s="450"/>
      <c r="AG79" s="450"/>
      <c r="AH79" s="331"/>
      <c r="AI79" s="334">
        <v>36</v>
      </c>
      <c r="AJ79" s="334" t="s">
        <v>1304</v>
      </c>
      <c r="AK79" s="334">
        <v>0</v>
      </c>
      <c r="AL79" s="334">
        <v>0</v>
      </c>
      <c r="AM79" s="334" t="s">
        <v>53</v>
      </c>
      <c r="AN79" s="334" t="s">
        <v>53</v>
      </c>
      <c r="AO79" s="334" t="s">
        <v>53</v>
      </c>
      <c r="AP79" s="334" t="s">
        <v>54</v>
      </c>
      <c r="AQ79" s="331"/>
      <c r="AR79" s="357"/>
      <c r="AS79" s="357"/>
      <c r="AT79" s="357"/>
      <c r="AU79" s="357"/>
      <c r="AV79" s="357"/>
      <c r="AW79" s="357"/>
      <c r="AX79" s="357"/>
      <c r="AY79" s="357"/>
      <c r="AZ79" s="357"/>
      <c r="BA79" s="357"/>
      <c r="BB79" s="357"/>
      <c r="BC79" s="357"/>
      <c r="BD79" s="358"/>
      <c r="BE79" s="357"/>
      <c r="BF79" s="357"/>
      <c r="BG79" s="357"/>
      <c r="BH79" s="357"/>
      <c r="BI79" s="357"/>
      <c r="BJ79" s="357"/>
      <c r="BK79" s="357"/>
      <c r="BL79" s="357"/>
      <c r="BM79" s="357"/>
      <c r="BN79" s="357"/>
      <c r="BO79" s="357"/>
      <c r="BP79" s="357"/>
      <c r="BQ79" s="390"/>
      <c r="BR79" s="357"/>
      <c r="BS79" s="357"/>
      <c r="BT79" s="357"/>
      <c r="BU79" s="357"/>
      <c r="BV79" s="357"/>
      <c r="BW79" s="357"/>
      <c r="BX79" s="357"/>
      <c r="BY79" s="357"/>
      <c r="BZ79" s="357"/>
      <c r="CA79" s="357"/>
      <c r="CB79" s="357"/>
      <c r="CC79" s="357"/>
      <c r="CD79" s="357"/>
      <c r="CE79" s="331"/>
      <c r="CF79" s="331"/>
      <c r="CG79" s="331"/>
      <c r="CH79" s="331"/>
      <c r="CI79" s="331"/>
      <c r="CJ79" s="331"/>
      <c r="CK79" s="331"/>
      <c r="CL79" s="331"/>
      <c r="CM79" s="331"/>
      <c r="CN79" s="331"/>
      <c r="CO79" s="331"/>
      <c r="CP79" s="331"/>
      <c r="CQ79" s="331"/>
      <c r="CR79" s="331"/>
      <c r="CS79" s="331"/>
      <c r="CT79" s="331"/>
      <c r="CU79" s="331"/>
      <c r="CV79" s="331"/>
      <c r="CW79" s="331"/>
      <c r="CX79" s="331"/>
      <c r="CY79" s="331"/>
      <c r="CZ79" s="331"/>
      <c r="DA79" s="331"/>
      <c r="DB79" s="331"/>
      <c r="DC79" s="331"/>
      <c r="DD79" s="331"/>
      <c r="DE79" s="1"/>
      <c r="DF79" s="1"/>
      <c r="DG79" s="1"/>
      <c r="DH79" s="1"/>
      <c r="DI79" s="1"/>
      <c r="DJ79" s="1"/>
      <c r="DK79" s="1"/>
      <c r="DL79" s="1"/>
      <c r="DM79" s="1"/>
      <c r="DN79" s="1"/>
      <c r="DO79" s="1"/>
      <c r="DP79" s="1"/>
      <c r="DQ79" s="1"/>
    </row>
    <row r="80" spans="1:121" x14ac:dyDescent="0.2">
      <c r="A80" s="830"/>
      <c r="B80" s="832"/>
      <c r="C80" s="830"/>
      <c r="D80" s="443" t="s">
        <v>1527</v>
      </c>
      <c r="E80" s="443"/>
      <c r="F80" s="331"/>
      <c r="G80" s="331" t="s">
        <v>49</v>
      </c>
      <c r="H80" s="383" t="s">
        <v>328</v>
      </c>
      <c r="I80" s="383" t="s">
        <v>316</v>
      </c>
      <c r="J80" s="402">
        <v>45109</v>
      </c>
      <c r="K80" s="402">
        <v>46205</v>
      </c>
      <c r="L80" s="457" t="s">
        <v>493</v>
      </c>
      <c r="M80" s="355"/>
      <c r="N80" s="355"/>
      <c r="O80" s="355"/>
      <c r="P80" s="458"/>
      <c r="Q80" s="355"/>
      <c r="R80" s="355"/>
      <c r="S80" s="355"/>
      <c r="T80" s="355"/>
      <c r="U80" s="355"/>
      <c r="V80" s="355"/>
      <c r="W80" s="355"/>
      <c r="X80" s="355"/>
      <c r="Y80" s="355"/>
      <c r="Z80" s="459">
        <f t="shared" si="53"/>
        <v>0</v>
      </c>
      <c r="AA80" s="451">
        <f t="shared" si="49"/>
        <v>0</v>
      </c>
      <c r="AB80" s="451">
        <f t="shared" si="50"/>
        <v>0</v>
      </c>
      <c r="AC80" s="450" t="e">
        <f t="shared" si="51"/>
        <v>#VALUE!</v>
      </c>
      <c r="AD80" s="450"/>
      <c r="AE80" s="450"/>
      <c r="AF80" s="450"/>
      <c r="AG80" s="450"/>
      <c r="AH80" s="331"/>
      <c r="AI80" s="334">
        <v>36</v>
      </c>
      <c r="AJ80" s="334" t="s">
        <v>1304</v>
      </c>
      <c r="AK80" s="334">
        <v>0</v>
      </c>
      <c r="AL80" s="334">
        <v>0</v>
      </c>
      <c r="AM80" s="334" t="s">
        <v>53</v>
      </c>
      <c r="AN80" s="334" t="s">
        <v>53</v>
      </c>
      <c r="AO80" s="334" t="s">
        <v>53</v>
      </c>
      <c r="AP80" s="334" t="s">
        <v>54</v>
      </c>
      <c r="AQ80" s="331"/>
      <c r="AR80" s="357"/>
      <c r="AS80" s="357"/>
      <c r="AT80" s="357"/>
      <c r="AU80" s="357"/>
      <c r="AV80" s="357"/>
      <c r="AW80" s="357"/>
      <c r="AX80" s="357"/>
      <c r="AY80" s="357"/>
      <c r="AZ80" s="357"/>
      <c r="BA80" s="357"/>
      <c r="BB80" s="357"/>
      <c r="BC80" s="357"/>
      <c r="BD80" s="358"/>
      <c r="BE80" s="357"/>
      <c r="BF80" s="357"/>
      <c r="BG80" s="357"/>
      <c r="BH80" s="357"/>
      <c r="BI80" s="357"/>
      <c r="BJ80" s="357"/>
      <c r="BK80" s="357"/>
      <c r="BL80" s="357"/>
      <c r="BM80" s="357"/>
      <c r="BN80" s="357"/>
      <c r="BO80" s="357"/>
      <c r="BP80" s="357"/>
      <c r="BQ80" s="390"/>
      <c r="BR80" s="357"/>
      <c r="BS80" s="357"/>
      <c r="BT80" s="357"/>
      <c r="BU80" s="357"/>
      <c r="BV80" s="357"/>
      <c r="BW80" s="357"/>
      <c r="BX80" s="357"/>
      <c r="BY80" s="357"/>
      <c r="BZ80" s="357"/>
      <c r="CA80" s="357"/>
      <c r="CB80" s="357"/>
      <c r="CC80" s="357"/>
      <c r="CD80" s="357"/>
      <c r="CE80" s="331"/>
      <c r="CF80" s="331"/>
      <c r="CG80" s="331"/>
      <c r="CH80" s="331"/>
      <c r="CI80" s="331"/>
      <c r="CJ80" s="331"/>
      <c r="CK80" s="331"/>
      <c r="CL80" s="331"/>
      <c r="CM80" s="331"/>
      <c r="CN80" s="331"/>
      <c r="CO80" s="331"/>
      <c r="CP80" s="331"/>
      <c r="CQ80" s="331"/>
      <c r="CR80" s="331"/>
      <c r="CS80" s="331"/>
      <c r="CT80" s="331"/>
      <c r="CU80" s="331"/>
      <c r="CV80" s="331"/>
      <c r="CW80" s="331"/>
      <c r="CX80" s="331"/>
      <c r="CY80" s="331"/>
      <c r="CZ80" s="331"/>
      <c r="DA80" s="331"/>
      <c r="DB80" s="331"/>
      <c r="DC80" s="331"/>
      <c r="DD80" s="331"/>
      <c r="DE80" s="1"/>
      <c r="DF80" s="1"/>
      <c r="DG80" s="1"/>
      <c r="DH80" s="1"/>
      <c r="DI80" s="1"/>
      <c r="DJ80" s="1"/>
      <c r="DK80" s="1"/>
      <c r="DL80" s="1"/>
      <c r="DM80" s="1"/>
      <c r="DN80" s="1"/>
      <c r="DO80" s="1"/>
      <c r="DP80" s="1"/>
      <c r="DQ80" s="1"/>
    </row>
    <row r="81" spans="1:121" x14ac:dyDescent="0.2">
      <c r="A81" s="830"/>
      <c r="B81" s="832"/>
      <c r="C81" s="830"/>
      <c r="D81" s="443" t="s">
        <v>1528</v>
      </c>
      <c r="E81" s="443"/>
      <c r="F81" s="331"/>
      <c r="G81" s="331" t="s">
        <v>49</v>
      </c>
      <c r="H81" s="383" t="s">
        <v>328</v>
      </c>
      <c r="I81" s="383" t="s">
        <v>316</v>
      </c>
      <c r="J81" s="402">
        <v>45109</v>
      </c>
      <c r="K81" s="402">
        <v>46205</v>
      </c>
      <c r="L81" s="457" t="s">
        <v>493</v>
      </c>
      <c r="M81" s="355"/>
      <c r="N81" s="355"/>
      <c r="O81" s="355"/>
      <c r="P81" s="458"/>
      <c r="Q81" s="355"/>
      <c r="R81" s="355"/>
      <c r="S81" s="355"/>
      <c r="T81" s="355"/>
      <c r="U81" s="355"/>
      <c r="V81" s="355"/>
      <c r="W81" s="355"/>
      <c r="X81" s="355"/>
      <c r="Y81" s="355"/>
      <c r="Z81" s="459">
        <f t="shared" si="53"/>
        <v>0</v>
      </c>
      <c r="AA81" s="451">
        <f t="shared" si="49"/>
        <v>0</v>
      </c>
      <c r="AB81" s="451">
        <f t="shared" si="50"/>
        <v>0</v>
      </c>
      <c r="AC81" s="450" t="e">
        <f t="shared" si="51"/>
        <v>#VALUE!</v>
      </c>
      <c r="AD81" s="450"/>
      <c r="AE81" s="450"/>
      <c r="AF81" s="450"/>
      <c r="AG81" s="450"/>
      <c r="AH81" s="331"/>
      <c r="AI81" s="334">
        <v>36</v>
      </c>
      <c r="AJ81" s="334" t="s">
        <v>1304</v>
      </c>
      <c r="AK81" s="334">
        <v>0</v>
      </c>
      <c r="AL81" s="334">
        <v>0</v>
      </c>
      <c r="AM81" s="334" t="s">
        <v>53</v>
      </c>
      <c r="AN81" s="334" t="s">
        <v>53</v>
      </c>
      <c r="AO81" s="334" t="s">
        <v>53</v>
      </c>
      <c r="AP81" s="334" t="s">
        <v>54</v>
      </c>
      <c r="AQ81" s="331"/>
      <c r="AR81" s="357"/>
      <c r="AS81" s="357"/>
      <c r="AT81" s="357"/>
      <c r="AU81" s="357"/>
      <c r="AV81" s="357"/>
      <c r="AW81" s="357"/>
      <c r="AX81" s="357"/>
      <c r="AY81" s="357"/>
      <c r="AZ81" s="357"/>
      <c r="BA81" s="357"/>
      <c r="BB81" s="357"/>
      <c r="BC81" s="357"/>
      <c r="BD81" s="358"/>
      <c r="BE81" s="357"/>
      <c r="BF81" s="357"/>
      <c r="BG81" s="357"/>
      <c r="BH81" s="357"/>
      <c r="BI81" s="357"/>
      <c r="BJ81" s="357"/>
      <c r="BK81" s="357"/>
      <c r="BL81" s="357"/>
      <c r="BM81" s="357"/>
      <c r="BN81" s="357"/>
      <c r="BO81" s="357"/>
      <c r="BP81" s="357"/>
      <c r="BQ81" s="390"/>
      <c r="BR81" s="357"/>
      <c r="BS81" s="357"/>
      <c r="BT81" s="357"/>
      <c r="BU81" s="357"/>
      <c r="BV81" s="357"/>
      <c r="BW81" s="357"/>
      <c r="BX81" s="357"/>
      <c r="BY81" s="357"/>
      <c r="BZ81" s="357"/>
      <c r="CA81" s="357"/>
      <c r="CB81" s="357"/>
      <c r="CC81" s="357"/>
      <c r="CD81" s="357"/>
      <c r="CE81" s="331"/>
      <c r="CF81" s="331"/>
      <c r="CG81" s="331"/>
      <c r="CH81" s="331"/>
      <c r="CI81" s="331"/>
      <c r="CJ81" s="331"/>
      <c r="CK81" s="331"/>
      <c r="CL81" s="331"/>
      <c r="CM81" s="331"/>
      <c r="CN81" s="331"/>
      <c r="CO81" s="331"/>
      <c r="CP81" s="331"/>
      <c r="CQ81" s="331"/>
      <c r="CR81" s="331"/>
      <c r="CS81" s="331"/>
      <c r="CT81" s="331"/>
      <c r="CU81" s="331"/>
      <c r="CV81" s="331"/>
      <c r="CW81" s="331"/>
      <c r="CX81" s="331"/>
      <c r="CY81" s="331"/>
      <c r="CZ81" s="331"/>
      <c r="DA81" s="331"/>
      <c r="DB81" s="331"/>
      <c r="DC81" s="331"/>
      <c r="DD81" s="331"/>
      <c r="DE81" s="1"/>
      <c r="DF81" s="1"/>
      <c r="DG81" s="1"/>
      <c r="DH81" s="1"/>
      <c r="DI81" s="1"/>
      <c r="DJ81" s="1"/>
      <c r="DK81" s="1"/>
      <c r="DL81" s="1"/>
      <c r="DM81" s="1"/>
      <c r="DN81" s="1"/>
      <c r="DO81" s="1"/>
      <c r="DP81" s="1"/>
      <c r="DQ81" s="1"/>
    </row>
    <row r="82" spans="1:121" x14ac:dyDescent="0.2">
      <c r="A82" s="830"/>
      <c r="B82" s="832"/>
      <c r="C82" s="830"/>
      <c r="D82" s="103" t="s">
        <v>1529</v>
      </c>
      <c r="E82" s="531"/>
      <c r="F82" s="331"/>
      <c r="G82" s="331" t="s">
        <v>49</v>
      </c>
      <c r="H82" s="383" t="s">
        <v>328</v>
      </c>
      <c r="I82" s="383" t="s">
        <v>316</v>
      </c>
      <c r="J82" s="402">
        <v>45109</v>
      </c>
      <c r="K82" s="402">
        <v>46205</v>
      </c>
      <c r="L82" s="457" t="s">
        <v>493</v>
      </c>
      <c r="M82" s="355"/>
      <c r="N82" s="355"/>
      <c r="O82" s="355"/>
      <c r="P82" s="458"/>
      <c r="Q82" s="355"/>
      <c r="R82" s="355"/>
      <c r="S82" s="355"/>
      <c r="T82" s="355"/>
      <c r="U82" s="355"/>
      <c r="V82" s="355"/>
      <c r="W82" s="355"/>
      <c r="X82" s="355"/>
      <c r="Y82" s="355"/>
      <c r="Z82" s="459">
        <f t="shared" si="53"/>
        <v>0</v>
      </c>
      <c r="AA82" s="451">
        <f t="shared" si="49"/>
        <v>0</v>
      </c>
      <c r="AB82" s="451">
        <f t="shared" si="50"/>
        <v>0</v>
      </c>
      <c r="AC82" s="450" t="e">
        <f t="shared" si="51"/>
        <v>#VALUE!</v>
      </c>
      <c r="AD82" s="450"/>
      <c r="AE82" s="450"/>
      <c r="AF82" s="450"/>
      <c r="AG82" s="450"/>
      <c r="AH82" s="331"/>
      <c r="AI82" s="334">
        <v>36</v>
      </c>
      <c r="AJ82" s="334" t="s">
        <v>1304</v>
      </c>
      <c r="AK82" s="334">
        <v>0</v>
      </c>
      <c r="AL82" s="334">
        <v>0</v>
      </c>
      <c r="AM82" s="334" t="s">
        <v>53</v>
      </c>
      <c r="AN82" s="334" t="s">
        <v>53</v>
      </c>
      <c r="AO82" s="334" t="s">
        <v>53</v>
      </c>
      <c r="AP82" s="334" t="s">
        <v>54</v>
      </c>
      <c r="AQ82" s="331"/>
      <c r="AR82" s="357"/>
      <c r="AS82" s="357"/>
      <c r="AT82" s="357"/>
      <c r="AU82" s="357"/>
      <c r="AV82" s="357"/>
      <c r="AW82" s="357"/>
      <c r="AX82" s="357"/>
      <c r="AY82" s="357"/>
      <c r="AZ82" s="357"/>
      <c r="BA82" s="357"/>
      <c r="BB82" s="357"/>
      <c r="BC82" s="357"/>
      <c r="BD82" s="358"/>
      <c r="BE82" s="357"/>
      <c r="BF82" s="357"/>
      <c r="BG82" s="357"/>
      <c r="BH82" s="357"/>
      <c r="BI82" s="357"/>
      <c r="BJ82" s="357"/>
      <c r="BK82" s="357"/>
      <c r="BL82" s="357"/>
      <c r="BM82" s="357"/>
      <c r="BN82" s="357"/>
      <c r="BO82" s="357"/>
      <c r="BP82" s="357"/>
      <c r="BQ82" s="390"/>
      <c r="BR82" s="357"/>
      <c r="BS82" s="357"/>
      <c r="BT82" s="357"/>
      <c r="BU82" s="357"/>
      <c r="BV82" s="357"/>
      <c r="BW82" s="357"/>
      <c r="BX82" s="357"/>
      <c r="BY82" s="357"/>
      <c r="BZ82" s="357"/>
      <c r="CA82" s="357"/>
      <c r="CB82" s="357"/>
      <c r="CC82" s="357"/>
      <c r="CD82" s="357"/>
      <c r="CE82" s="331"/>
      <c r="CF82" s="331"/>
      <c r="CG82" s="331"/>
      <c r="CH82" s="331"/>
      <c r="CI82" s="331"/>
      <c r="CJ82" s="331"/>
      <c r="CK82" s="331"/>
      <c r="CL82" s="331"/>
      <c r="CM82" s="331"/>
      <c r="CN82" s="331"/>
      <c r="CO82" s="331"/>
      <c r="CP82" s="331"/>
      <c r="CQ82" s="331"/>
      <c r="CR82" s="331"/>
      <c r="CS82" s="331"/>
      <c r="CT82" s="331"/>
      <c r="CU82" s="331"/>
      <c r="CV82" s="331"/>
      <c r="CW82" s="331"/>
      <c r="CX82" s="331"/>
      <c r="CY82" s="331"/>
      <c r="CZ82" s="331"/>
      <c r="DA82" s="331"/>
      <c r="DB82" s="331"/>
      <c r="DC82" s="331"/>
      <c r="DD82" s="331"/>
      <c r="DE82" s="1"/>
      <c r="DF82" s="1"/>
      <c r="DG82" s="1"/>
      <c r="DH82" s="1"/>
      <c r="DI82" s="1"/>
      <c r="DJ82" s="1"/>
      <c r="DK82" s="1"/>
      <c r="DL82" s="1"/>
      <c r="DM82" s="1"/>
      <c r="DN82" s="1"/>
      <c r="DO82" s="1"/>
      <c r="DP82" s="1"/>
      <c r="DQ82" s="1"/>
    </row>
    <row r="83" spans="1:121" x14ac:dyDescent="0.2">
      <c r="A83" s="830"/>
      <c r="B83" s="832"/>
      <c r="C83" s="830"/>
      <c r="D83" s="103" t="s">
        <v>1530</v>
      </c>
      <c r="E83" s="443"/>
      <c r="F83" s="331"/>
      <c r="G83" s="331" t="s">
        <v>49</v>
      </c>
      <c r="H83" s="383" t="s">
        <v>328</v>
      </c>
      <c r="I83" s="383" t="s">
        <v>316</v>
      </c>
      <c r="J83" s="402">
        <v>45109</v>
      </c>
      <c r="K83" s="402">
        <v>46205</v>
      </c>
      <c r="L83" s="457" t="s">
        <v>493</v>
      </c>
      <c r="M83" s="355"/>
      <c r="N83" s="355"/>
      <c r="O83" s="355"/>
      <c r="P83" s="458"/>
      <c r="Q83" s="355"/>
      <c r="R83" s="355"/>
      <c r="S83" s="355"/>
      <c r="T83" s="355"/>
      <c r="U83" s="355"/>
      <c r="V83" s="355"/>
      <c r="W83" s="355"/>
      <c r="X83" s="355"/>
      <c r="Y83" s="355"/>
      <c r="Z83" s="459">
        <f t="shared" si="53"/>
        <v>0</v>
      </c>
      <c r="AA83" s="451">
        <f t="shared" si="49"/>
        <v>0</v>
      </c>
      <c r="AB83" s="451">
        <f t="shared" si="50"/>
        <v>0</v>
      </c>
      <c r="AC83" s="450" t="e">
        <f t="shared" si="51"/>
        <v>#VALUE!</v>
      </c>
      <c r="AD83" s="450"/>
      <c r="AE83" s="450"/>
      <c r="AF83" s="450"/>
      <c r="AG83" s="450"/>
      <c r="AH83" s="331"/>
      <c r="AI83" s="334">
        <v>36</v>
      </c>
      <c r="AJ83" s="334" t="s">
        <v>1304</v>
      </c>
      <c r="AK83" s="334">
        <v>0</v>
      </c>
      <c r="AL83" s="334">
        <v>0</v>
      </c>
      <c r="AM83" s="334" t="s">
        <v>53</v>
      </c>
      <c r="AN83" s="334" t="s">
        <v>53</v>
      </c>
      <c r="AO83" s="334" t="s">
        <v>53</v>
      </c>
      <c r="AP83" s="334" t="s">
        <v>54</v>
      </c>
      <c r="AQ83" s="331"/>
      <c r="AR83" s="357"/>
      <c r="AS83" s="357"/>
      <c r="AT83" s="357"/>
      <c r="AU83" s="357"/>
      <c r="AV83" s="357"/>
      <c r="AW83" s="357"/>
      <c r="AX83" s="357"/>
      <c r="AY83" s="357"/>
      <c r="AZ83" s="357"/>
      <c r="BA83" s="357"/>
      <c r="BB83" s="357"/>
      <c r="BC83" s="357"/>
      <c r="BD83" s="358"/>
      <c r="BE83" s="357"/>
      <c r="BF83" s="357"/>
      <c r="BG83" s="357"/>
      <c r="BH83" s="357"/>
      <c r="BI83" s="357"/>
      <c r="BJ83" s="357"/>
      <c r="BK83" s="357"/>
      <c r="BL83" s="357"/>
      <c r="BM83" s="357"/>
      <c r="BN83" s="357"/>
      <c r="BO83" s="357"/>
      <c r="BP83" s="357"/>
      <c r="BQ83" s="390"/>
      <c r="BR83" s="357"/>
      <c r="BS83" s="357"/>
      <c r="BT83" s="357"/>
      <c r="BU83" s="357"/>
      <c r="BV83" s="357"/>
      <c r="BW83" s="357"/>
      <c r="BX83" s="357"/>
      <c r="BY83" s="357"/>
      <c r="BZ83" s="357"/>
      <c r="CA83" s="357"/>
      <c r="CB83" s="357"/>
      <c r="CC83" s="357"/>
      <c r="CD83" s="357"/>
      <c r="CE83" s="331"/>
      <c r="CF83" s="331"/>
      <c r="CG83" s="331"/>
      <c r="CH83" s="331"/>
      <c r="CI83" s="331"/>
      <c r="CJ83" s="331"/>
      <c r="CK83" s="331"/>
      <c r="CL83" s="331"/>
      <c r="CM83" s="331"/>
      <c r="CN83" s="331"/>
      <c r="CO83" s="331"/>
      <c r="CP83" s="331"/>
      <c r="CQ83" s="331"/>
      <c r="CR83" s="331"/>
      <c r="CS83" s="331"/>
      <c r="CT83" s="331"/>
      <c r="CU83" s="331"/>
      <c r="CV83" s="331"/>
      <c r="CW83" s="331"/>
      <c r="CX83" s="331"/>
      <c r="CY83" s="331"/>
      <c r="CZ83" s="331"/>
      <c r="DA83" s="331"/>
      <c r="DB83" s="331"/>
      <c r="DC83" s="331"/>
      <c r="DD83" s="331"/>
      <c r="DE83" s="1"/>
      <c r="DF83" s="1"/>
      <c r="DG83" s="1"/>
      <c r="DH83" s="1"/>
      <c r="DI83" s="1"/>
      <c r="DJ83" s="1"/>
      <c r="DK83" s="1"/>
      <c r="DL83" s="1"/>
      <c r="DM83" s="1"/>
      <c r="DN83" s="1"/>
      <c r="DO83" s="1"/>
      <c r="DP83" s="1"/>
      <c r="DQ83" s="1"/>
    </row>
    <row r="84" spans="1:121" x14ac:dyDescent="0.2">
      <c r="A84" s="830"/>
      <c r="B84" s="832"/>
      <c r="C84" s="830"/>
      <c r="D84" s="103" t="s">
        <v>307</v>
      </c>
      <c r="E84" s="531"/>
      <c r="F84" s="331"/>
      <c r="G84" s="331" t="s">
        <v>49</v>
      </c>
      <c r="H84" s="383" t="s">
        <v>328</v>
      </c>
      <c r="I84" s="383" t="s">
        <v>316</v>
      </c>
      <c r="J84" s="402">
        <v>45109</v>
      </c>
      <c r="K84" s="402">
        <v>46205</v>
      </c>
      <c r="L84" s="457" t="s">
        <v>493</v>
      </c>
      <c r="M84" s="355"/>
      <c r="N84" s="355"/>
      <c r="O84" s="355"/>
      <c r="P84" s="458"/>
      <c r="Q84" s="355"/>
      <c r="R84" s="355"/>
      <c r="S84" s="355"/>
      <c r="T84" s="355"/>
      <c r="U84" s="355"/>
      <c r="V84" s="355"/>
      <c r="W84" s="355"/>
      <c r="X84" s="355"/>
      <c r="Y84" s="355"/>
      <c r="Z84" s="459">
        <f t="shared" si="53"/>
        <v>0</v>
      </c>
      <c r="AA84" s="451">
        <f t="shared" si="49"/>
        <v>0</v>
      </c>
      <c r="AB84" s="451">
        <f t="shared" si="50"/>
        <v>0</v>
      </c>
      <c r="AC84" s="450" t="e">
        <f t="shared" si="51"/>
        <v>#VALUE!</v>
      </c>
      <c r="AD84" s="450"/>
      <c r="AE84" s="450"/>
      <c r="AF84" s="450"/>
      <c r="AG84" s="450"/>
      <c r="AH84" s="331"/>
      <c r="AI84" s="334">
        <v>36</v>
      </c>
      <c r="AJ84" s="334" t="s">
        <v>1304</v>
      </c>
      <c r="AK84" s="334">
        <v>0</v>
      </c>
      <c r="AL84" s="334">
        <v>0</v>
      </c>
      <c r="AM84" s="334" t="s">
        <v>53</v>
      </c>
      <c r="AN84" s="334" t="s">
        <v>53</v>
      </c>
      <c r="AO84" s="334" t="s">
        <v>53</v>
      </c>
      <c r="AP84" s="334" t="s">
        <v>54</v>
      </c>
      <c r="AQ84" s="331"/>
      <c r="AR84" s="357"/>
      <c r="AS84" s="357"/>
      <c r="AT84" s="357"/>
      <c r="AU84" s="357"/>
      <c r="AV84" s="357"/>
      <c r="AW84" s="357"/>
      <c r="AX84" s="357"/>
      <c r="AY84" s="357"/>
      <c r="AZ84" s="357"/>
      <c r="BA84" s="357"/>
      <c r="BB84" s="357"/>
      <c r="BC84" s="357"/>
      <c r="BD84" s="358"/>
      <c r="BE84" s="357"/>
      <c r="BF84" s="357"/>
      <c r="BG84" s="357"/>
      <c r="BH84" s="357"/>
      <c r="BI84" s="357"/>
      <c r="BJ84" s="357"/>
      <c r="BK84" s="357"/>
      <c r="BL84" s="357"/>
      <c r="BM84" s="357"/>
      <c r="BN84" s="357"/>
      <c r="BO84" s="357"/>
      <c r="BP84" s="357"/>
      <c r="BQ84" s="390"/>
      <c r="BR84" s="357"/>
      <c r="BS84" s="357"/>
      <c r="BT84" s="357"/>
      <c r="BU84" s="357"/>
      <c r="BV84" s="357"/>
      <c r="BW84" s="357"/>
      <c r="BX84" s="357"/>
      <c r="BY84" s="357"/>
      <c r="BZ84" s="357"/>
      <c r="CA84" s="357"/>
      <c r="CB84" s="357"/>
      <c r="CC84" s="357"/>
      <c r="CD84" s="357"/>
      <c r="CE84" s="331"/>
      <c r="CF84" s="331"/>
      <c r="CG84" s="331"/>
      <c r="CH84" s="331"/>
      <c r="CI84" s="331"/>
      <c r="CJ84" s="331"/>
      <c r="CK84" s="331"/>
      <c r="CL84" s="331"/>
      <c r="CM84" s="331"/>
      <c r="CN84" s="331"/>
      <c r="CO84" s="331"/>
      <c r="CP84" s="331"/>
      <c r="CQ84" s="331"/>
      <c r="CR84" s="331"/>
      <c r="CS84" s="331"/>
      <c r="CT84" s="331"/>
      <c r="CU84" s="331"/>
      <c r="CV84" s="331"/>
      <c r="CW84" s="331"/>
      <c r="CX84" s="331"/>
      <c r="CY84" s="331"/>
      <c r="CZ84" s="331"/>
      <c r="DA84" s="331"/>
      <c r="DB84" s="331"/>
      <c r="DC84" s="331"/>
      <c r="DD84" s="331"/>
      <c r="DE84" s="1"/>
      <c r="DF84" s="1"/>
      <c r="DG84" s="1"/>
      <c r="DH84" s="1"/>
      <c r="DI84" s="1"/>
      <c r="DJ84" s="1"/>
      <c r="DK84" s="1"/>
      <c r="DL84" s="1"/>
      <c r="DM84" s="1"/>
      <c r="DN84" s="1"/>
      <c r="DO84" s="1"/>
      <c r="DP84" s="1"/>
      <c r="DQ84" s="1"/>
    </row>
    <row r="85" spans="1:121" x14ac:dyDescent="0.2">
      <c r="A85" s="830"/>
      <c r="B85" s="832"/>
      <c r="C85" s="830"/>
      <c r="D85" s="103" t="s">
        <v>1531</v>
      </c>
      <c r="E85" s="443"/>
      <c r="F85" s="331"/>
      <c r="G85" s="331" t="s">
        <v>49</v>
      </c>
      <c r="H85" s="383" t="s">
        <v>328</v>
      </c>
      <c r="I85" s="383" t="s">
        <v>316</v>
      </c>
      <c r="J85" s="402">
        <v>45109</v>
      </c>
      <c r="K85" s="402">
        <v>46205</v>
      </c>
      <c r="L85" s="457" t="s">
        <v>493</v>
      </c>
      <c r="M85" s="355"/>
      <c r="N85" s="355"/>
      <c r="O85" s="355"/>
      <c r="P85" s="458"/>
      <c r="Q85" s="355"/>
      <c r="R85" s="355"/>
      <c r="S85" s="355"/>
      <c r="T85" s="355"/>
      <c r="U85" s="355"/>
      <c r="V85" s="355"/>
      <c r="W85" s="355"/>
      <c r="X85" s="355"/>
      <c r="Y85" s="355"/>
      <c r="Z85" s="459">
        <f t="shared" si="53"/>
        <v>0</v>
      </c>
      <c r="AA85" s="451">
        <f t="shared" si="49"/>
        <v>0</v>
      </c>
      <c r="AB85" s="451">
        <f t="shared" si="50"/>
        <v>0</v>
      </c>
      <c r="AC85" s="450" t="e">
        <f t="shared" si="51"/>
        <v>#VALUE!</v>
      </c>
      <c r="AD85" s="450"/>
      <c r="AE85" s="450"/>
      <c r="AF85" s="450"/>
      <c r="AG85" s="450"/>
      <c r="AH85" s="331"/>
      <c r="AI85" s="334">
        <v>36</v>
      </c>
      <c r="AJ85" s="334" t="s">
        <v>1304</v>
      </c>
      <c r="AK85" s="334">
        <v>0</v>
      </c>
      <c r="AL85" s="334">
        <v>0</v>
      </c>
      <c r="AM85" s="334" t="s">
        <v>53</v>
      </c>
      <c r="AN85" s="334" t="s">
        <v>53</v>
      </c>
      <c r="AO85" s="334" t="s">
        <v>53</v>
      </c>
      <c r="AP85" s="334" t="s">
        <v>54</v>
      </c>
      <c r="AQ85" s="331"/>
      <c r="AR85" s="357"/>
      <c r="AS85" s="357"/>
      <c r="AT85" s="357"/>
      <c r="AU85" s="357"/>
      <c r="AV85" s="357"/>
      <c r="AW85" s="357"/>
      <c r="AX85" s="357"/>
      <c r="AY85" s="357"/>
      <c r="AZ85" s="357"/>
      <c r="BA85" s="357"/>
      <c r="BB85" s="357"/>
      <c r="BC85" s="357"/>
      <c r="BD85" s="358"/>
      <c r="BE85" s="357"/>
      <c r="BF85" s="357"/>
      <c r="BG85" s="357"/>
      <c r="BH85" s="357"/>
      <c r="BI85" s="357"/>
      <c r="BJ85" s="357"/>
      <c r="BK85" s="357"/>
      <c r="BL85" s="357"/>
      <c r="BM85" s="357"/>
      <c r="BN85" s="357"/>
      <c r="BO85" s="357"/>
      <c r="BP85" s="357"/>
      <c r="BQ85" s="390"/>
      <c r="BR85" s="357"/>
      <c r="BS85" s="357"/>
      <c r="BT85" s="357"/>
      <c r="BU85" s="357"/>
      <c r="BV85" s="357"/>
      <c r="BW85" s="357"/>
      <c r="BX85" s="357"/>
      <c r="BY85" s="357"/>
      <c r="BZ85" s="357"/>
      <c r="CA85" s="357"/>
      <c r="CB85" s="357"/>
      <c r="CC85" s="357"/>
      <c r="CD85" s="357"/>
      <c r="CE85" s="331"/>
      <c r="CF85" s="331"/>
      <c r="CG85" s="331"/>
      <c r="CH85" s="331"/>
      <c r="CI85" s="331"/>
      <c r="CJ85" s="331"/>
      <c r="CK85" s="331"/>
      <c r="CL85" s="331"/>
      <c r="CM85" s="331"/>
      <c r="CN85" s="331"/>
      <c r="CO85" s="331"/>
      <c r="CP85" s="331"/>
      <c r="CQ85" s="331"/>
      <c r="CR85" s="331"/>
      <c r="CS85" s="331"/>
      <c r="CT85" s="331"/>
      <c r="CU85" s="331"/>
      <c r="CV85" s="331"/>
      <c r="CW85" s="331"/>
      <c r="CX85" s="331"/>
      <c r="CY85" s="331"/>
      <c r="CZ85" s="331"/>
      <c r="DA85" s="331"/>
      <c r="DB85" s="331"/>
      <c r="DC85" s="331"/>
      <c r="DD85" s="331"/>
      <c r="DE85" s="1"/>
      <c r="DF85" s="1"/>
      <c r="DG85" s="1"/>
      <c r="DH85" s="1"/>
      <c r="DI85" s="1"/>
      <c r="DJ85" s="1"/>
      <c r="DK85" s="1"/>
      <c r="DL85" s="1"/>
      <c r="DM85" s="1"/>
      <c r="DN85" s="1"/>
      <c r="DO85" s="1"/>
      <c r="DP85" s="1"/>
      <c r="DQ85" s="1"/>
    </row>
    <row r="86" spans="1:121" x14ac:dyDescent="0.2">
      <c r="A86" s="830"/>
      <c r="B86" s="832"/>
      <c r="C86" s="830"/>
      <c r="D86" s="103" t="s">
        <v>1532</v>
      </c>
      <c r="E86" s="443"/>
      <c r="F86" s="331"/>
      <c r="G86" s="331" t="s">
        <v>49</v>
      </c>
      <c r="H86" s="383" t="s">
        <v>328</v>
      </c>
      <c r="I86" s="383" t="s">
        <v>316</v>
      </c>
      <c r="J86" s="402">
        <v>45109</v>
      </c>
      <c r="K86" s="402">
        <v>46205</v>
      </c>
      <c r="L86" s="457" t="s">
        <v>493</v>
      </c>
      <c r="M86" s="355"/>
      <c r="N86" s="355"/>
      <c r="O86" s="355"/>
      <c r="P86" s="458"/>
      <c r="Q86" s="355"/>
      <c r="R86" s="355"/>
      <c r="S86" s="355"/>
      <c r="T86" s="355"/>
      <c r="U86" s="355"/>
      <c r="V86" s="355"/>
      <c r="W86" s="355"/>
      <c r="X86" s="355"/>
      <c r="Y86" s="355"/>
      <c r="Z86" s="459">
        <f t="shared" si="53"/>
        <v>0</v>
      </c>
      <c r="AA86" s="451">
        <f t="shared" si="49"/>
        <v>0</v>
      </c>
      <c r="AB86" s="451">
        <f t="shared" si="50"/>
        <v>0</v>
      </c>
      <c r="AC86" s="450" t="e">
        <f t="shared" si="51"/>
        <v>#VALUE!</v>
      </c>
      <c r="AD86" s="450"/>
      <c r="AE86" s="450"/>
      <c r="AF86" s="450"/>
      <c r="AG86" s="450"/>
      <c r="AH86" s="331"/>
      <c r="AI86" s="334">
        <v>36</v>
      </c>
      <c r="AJ86" s="334" t="s">
        <v>1304</v>
      </c>
      <c r="AK86" s="334">
        <v>0</v>
      </c>
      <c r="AL86" s="334">
        <v>0</v>
      </c>
      <c r="AM86" s="334" t="s">
        <v>53</v>
      </c>
      <c r="AN86" s="334" t="s">
        <v>53</v>
      </c>
      <c r="AO86" s="334" t="s">
        <v>53</v>
      </c>
      <c r="AP86" s="334" t="s">
        <v>54</v>
      </c>
      <c r="AQ86" s="331"/>
      <c r="AR86" s="357"/>
      <c r="AS86" s="357"/>
      <c r="AT86" s="357"/>
      <c r="AU86" s="357"/>
      <c r="AV86" s="357"/>
      <c r="AW86" s="357"/>
      <c r="AX86" s="357"/>
      <c r="AY86" s="357"/>
      <c r="AZ86" s="357"/>
      <c r="BA86" s="357"/>
      <c r="BB86" s="357"/>
      <c r="BC86" s="357"/>
      <c r="BD86" s="358"/>
      <c r="BE86" s="357"/>
      <c r="BF86" s="357"/>
      <c r="BG86" s="357"/>
      <c r="BH86" s="357"/>
      <c r="BI86" s="357"/>
      <c r="BJ86" s="357"/>
      <c r="BK86" s="357"/>
      <c r="BL86" s="357"/>
      <c r="BM86" s="357"/>
      <c r="BN86" s="357"/>
      <c r="BO86" s="357"/>
      <c r="BP86" s="357"/>
      <c r="BQ86" s="390"/>
      <c r="BR86" s="357"/>
      <c r="BS86" s="357"/>
      <c r="BT86" s="357"/>
      <c r="BU86" s="357"/>
      <c r="BV86" s="357"/>
      <c r="BW86" s="357"/>
      <c r="BX86" s="357"/>
      <c r="BY86" s="357"/>
      <c r="BZ86" s="357"/>
      <c r="CA86" s="357"/>
      <c r="CB86" s="357"/>
      <c r="CC86" s="357"/>
      <c r="CD86" s="357"/>
      <c r="CE86" s="331"/>
      <c r="CF86" s="331"/>
      <c r="CG86" s="331"/>
      <c r="CH86" s="331"/>
      <c r="CI86" s="331"/>
      <c r="CJ86" s="331"/>
      <c r="CK86" s="331"/>
      <c r="CL86" s="331"/>
      <c r="CM86" s="331"/>
      <c r="CN86" s="331"/>
      <c r="CO86" s="331"/>
      <c r="CP86" s="331"/>
      <c r="CQ86" s="331"/>
      <c r="CR86" s="331"/>
      <c r="CS86" s="331"/>
      <c r="CT86" s="331"/>
      <c r="CU86" s="331"/>
      <c r="CV86" s="331"/>
      <c r="CW86" s="331"/>
      <c r="CX86" s="331"/>
      <c r="CY86" s="331"/>
      <c r="CZ86" s="331"/>
      <c r="DA86" s="331"/>
      <c r="DB86" s="331"/>
      <c r="DC86" s="331"/>
      <c r="DD86" s="331"/>
      <c r="DE86" s="1"/>
      <c r="DF86" s="1"/>
      <c r="DG86" s="1"/>
      <c r="DH86" s="1"/>
      <c r="DI86" s="1"/>
      <c r="DJ86" s="1"/>
      <c r="DK86" s="1"/>
      <c r="DL86" s="1"/>
      <c r="DM86" s="1"/>
      <c r="DN86" s="1"/>
      <c r="DO86" s="1"/>
      <c r="DP86" s="1"/>
      <c r="DQ86" s="1"/>
    </row>
    <row r="87" spans="1:121" x14ac:dyDescent="0.2">
      <c r="A87" s="830"/>
      <c r="B87" s="832"/>
      <c r="C87" s="830"/>
      <c r="D87" s="103" t="s">
        <v>1533</v>
      </c>
      <c r="E87" s="443"/>
      <c r="F87" s="331"/>
      <c r="G87" s="331" t="s">
        <v>49</v>
      </c>
      <c r="H87" s="383" t="s">
        <v>328</v>
      </c>
      <c r="I87" s="383" t="s">
        <v>316</v>
      </c>
      <c r="J87" s="402">
        <v>45109</v>
      </c>
      <c r="K87" s="402">
        <v>46205</v>
      </c>
      <c r="L87" s="457" t="s">
        <v>493</v>
      </c>
      <c r="M87" s="355"/>
      <c r="N87" s="355"/>
      <c r="O87" s="355"/>
      <c r="P87" s="458"/>
      <c r="Q87" s="355"/>
      <c r="R87" s="355"/>
      <c r="S87" s="355"/>
      <c r="T87" s="355"/>
      <c r="U87" s="355"/>
      <c r="V87" s="355"/>
      <c r="W87" s="355"/>
      <c r="X87" s="355"/>
      <c r="Y87" s="355"/>
      <c r="Z87" s="459">
        <f t="shared" si="53"/>
        <v>0</v>
      </c>
      <c r="AA87" s="451">
        <f t="shared" si="49"/>
        <v>0</v>
      </c>
      <c r="AB87" s="451">
        <f t="shared" si="50"/>
        <v>0</v>
      </c>
      <c r="AC87" s="450" t="e">
        <f t="shared" si="51"/>
        <v>#VALUE!</v>
      </c>
      <c r="AD87" s="450"/>
      <c r="AE87" s="450"/>
      <c r="AF87" s="450"/>
      <c r="AG87" s="450"/>
      <c r="AH87" s="331"/>
      <c r="AI87" s="334">
        <v>36</v>
      </c>
      <c r="AJ87" s="334" t="s">
        <v>1304</v>
      </c>
      <c r="AK87" s="334">
        <v>0</v>
      </c>
      <c r="AL87" s="334">
        <v>0</v>
      </c>
      <c r="AM87" s="334" t="s">
        <v>53</v>
      </c>
      <c r="AN87" s="334" t="s">
        <v>53</v>
      </c>
      <c r="AO87" s="334" t="s">
        <v>53</v>
      </c>
      <c r="AP87" s="334" t="s">
        <v>54</v>
      </c>
      <c r="AQ87" s="331"/>
      <c r="AR87" s="357"/>
      <c r="AS87" s="357"/>
      <c r="AT87" s="357"/>
      <c r="AU87" s="357"/>
      <c r="AV87" s="357"/>
      <c r="AW87" s="357"/>
      <c r="AX87" s="357"/>
      <c r="AY87" s="357"/>
      <c r="AZ87" s="357"/>
      <c r="BA87" s="357"/>
      <c r="BB87" s="357"/>
      <c r="BC87" s="357"/>
      <c r="BD87" s="358"/>
      <c r="BE87" s="357"/>
      <c r="BF87" s="357"/>
      <c r="BG87" s="357"/>
      <c r="BH87" s="357"/>
      <c r="BI87" s="357"/>
      <c r="BJ87" s="357"/>
      <c r="BK87" s="357"/>
      <c r="BL87" s="357"/>
      <c r="BM87" s="357"/>
      <c r="BN87" s="357"/>
      <c r="BO87" s="357"/>
      <c r="BP87" s="357"/>
      <c r="BQ87" s="390"/>
      <c r="BR87" s="357"/>
      <c r="BS87" s="357"/>
      <c r="BT87" s="357"/>
      <c r="BU87" s="357"/>
      <c r="BV87" s="357"/>
      <c r="BW87" s="357"/>
      <c r="BX87" s="357"/>
      <c r="BY87" s="357"/>
      <c r="BZ87" s="357"/>
      <c r="CA87" s="357"/>
      <c r="CB87" s="357"/>
      <c r="CC87" s="357"/>
      <c r="CD87" s="357"/>
      <c r="CE87" s="331"/>
      <c r="CF87" s="331"/>
      <c r="CG87" s="331"/>
      <c r="CH87" s="331"/>
      <c r="CI87" s="331"/>
      <c r="CJ87" s="331"/>
      <c r="CK87" s="331"/>
      <c r="CL87" s="331"/>
      <c r="CM87" s="331"/>
      <c r="CN87" s="331"/>
      <c r="CO87" s="331"/>
      <c r="CP87" s="331"/>
      <c r="CQ87" s="331"/>
      <c r="CR87" s="331"/>
      <c r="CS87" s="331"/>
      <c r="CT87" s="331"/>
      <c r="CU87" s="331"/>
      <c r="CV87" s="331"/>
      <c r="CW87" s="331"/>
      <c r="CX87" s="331"/>
      <c r="CY87" s="331"/>
      <c r="CZ87" s="331"/>
      <c r="DA87" s="331"/>
      <c r="DB87" s="331"/>
      <c r="DC87" s="331"/>
      <c r="DD87" s="331"/>
      <c r="DE87" s="1"/>
      <c r="DF87" s="1"/>
      <c r="DG87" s="1"/>
      <c r="DH87" s="1"/>
      <c r="DI87" s="1"/>
      <c r="DJ87" s="1"/>
      <c r="DK87" s="1"/>
      <c r="DL87" s="1"/>
      <c r="DM87" s="1"/>
      <c r="DN87" s="1"/>
      <c r="DO87" s="1"/>
      <c r="DP87" s="1"/>
      <c r="DQ87" s="1"/>
    </row>
    <row r="88" spans="1:121" x14ac:dyDescent="0.2">
      <c r="A88" s="830"/>
      <c r="B88" s="832"/>
      <c r="C88" s="830"/>
      <c r="D88" s="103" t="s">
        <v>1534</v>
      </c>
      <c r="E88" s="443"/>
      <c r="F88" s="331"/>
      <c r="G88" s="331" t="s">
        <v>49</v>
      </c>
      <c r="H88" s="383" t="s">
        <v>328</v>
      </c>
      <c r="I88" s="383" t="s">
        <v>316</v>
      </c>
      <c r="J88" s="402">
        <v>45109</v>
      </c>
      <c r="K88" s="402">
        <v>46205</v>
      </c>
      <c r="L88" s="457" t="s">
        <v>493</v>
      </c>
      <c r="M88" s="355"/>
      <c r="N88" s="355"/>
      <c r="O88" s="355"/>
      <c r="P88" s="458"/>
      <c r="Q88" s="355"/>
      <c r="R88" s="355"/>
      <c r="S88" s="355"/>
      <c r="T88" s="355"/>
      <c r="U88" s="355"/>
      <c r="V88" s="355"/>
      <c r="W88" s="355"/>
      <c r="X88" s="355"/>
      <c r="Y88" s="355"/>
      <c r="Z88" s="459">
        <f t="shared" si="53"/>
        <v>0</v>
      </c>
      <c r="AA88" s="451">
        <f t="shared" si="49"/>
        <v>0</v>
      </c>
      <c r="AB88" s="451">
        <f t="shared" si="50"/>
        <v>0</v>
      </c>
      <c r="AC88" s="450" t="e">
        <f t="shared" si="51"/>
        <v>#VALUE!</v>
      </c>
      <c r="AD88" s="450"/>
      <c r="AE88" s="450"/>
      <c r="AF88" s="450"/>
      <c r="AG88" s="450"/>
      <c r="AH88" s="331"/>
      <c r="AI88" s="334">
        <v>36</v>
      </c>
      <c r="AJ88" s="334" t="s">
        <v>1304</v>
      </c>
      <c r="AK88" s="334">
        <v>0</v>
      </c>
      <c r="AL88" s="334">
        <v>0</v>
      </c>
      <c r="AM88" s="334" t="s">
        <v>53</v>
      </c>
      <c r="AN88" s="334" t="s">
        <v>53</v>
      </c>
      <c r="AO88" s="334" t="s">
        <v>53</v>
      </c>
      <c r="AP88" s="334" t="s">
        <v>54</v>
      </c>
      <c r="AQ88" s="331"/>
      <c r="AR88" s="357"/>
      <c r="AS88" s="357"/>
      <c r="AT88" s="357"/>
      <c r="AU88" s="357"/>
      <c r="AV88" s="357"/>
      <c r="AW88" s="357"/>
      <c r="AX88" s="357"/>
      <c r="AY88" s="357"/>
      <c r="AZ88" s="357"/>
      <c r="BA88" s="357"/>
      <c r="BB88" s="357"/>
      <c r="BC88" s="357"/>
      <c r="BD88" s="358"/>
      <c r="BE88" s="357"/>
      <c r="BF88" s="357"/>
      <c r="BG88" s="357"/>
      <c r="BH88" s="357"/>
      <c r="BI88" s="357"/>
      <c r="BJ88" s="357"/>
      <c r="BK88" s="357"/>
      <c r="BL88" s="357"/>
      <c r="BM88" s="357"/>
      <c r="BN88" s="357"/>
      <c r="BO88" s="357"/>
      <c r="BP88" s="357"/>
      <c r="BQ88" s="390"/>
      <c r="BR88" s="357"/>
      <c r="BS88" s="357"/>
      <c r="BT88" s="357"/>
      <c r="BU88" s="357"/>
      <c r="BV88" s="357"/>
      <c r="BW88" s="357"/>
      <c r="BX88" s="357"/>
      <c r="BY88" s="357"/>
      <c r="BZ88" s="357"/>
      <c r="CA88" s="357"/>
      <c r="CB88" s="357"/>
      <c r="CC88" s="357"/>
      <c r="CD88" s="357"/>
      <c r="CE88" s="331"/>
      <c r="CF88" s="331"/>
      <c r="CG88" s="331"/>
      <c r="CH88" s="331"/>
      <c r="CI88" s="331"/>
      <c r="CJ88" s="331"/>
      <c r="CK88" s="331"/>
      <c r="CL88" s="331"/>
      <c r="CM88" s="331"/>
      <c r="CN88" s="331"/>
      <c r="CO88" s="331"/>
      <c r="CP88" s="331"/>
      <c r="CQ88" s="331"/>
      <c r="CR88" s="331"/>
      <c r="CS88" s="331"/>
      <c r="CT88" s="331"/>
      <c r="CU88" s="331"/>
      <c r="CV88" s="331"/>
      <c r="CW88" s="331"/>
      <c r="CX88" s="331"/>
      <c r="CY88" s="331"/>
      <c r="CZ88" s="331"/>
      <c r="DA88" s="331"/>
      <c r="DB88" s="331"/>
      <c r="DC88" s="331"/>
      <c r="DD88" s="331"/>
      <c r="DE88" s="1"/>
      <c r="DF88" s="1"/>
      <c r="DG88" s="1"/>
      <c r="DH88" s="1"/>
      <c r="DI88" s="1"/>
      <c r="DJ88" s="1"/>
      <c r="DK88" s="1"/>
      <c r="DL88" s="1"/>
      <c r="DM88" s="1"/>
      <c r="DN88" s="1"/>
      <c r="DO88" s="1"/>
      <c r="DP88" s="1"/>
      <c r="DQ88" s="1"/>
    </row>
    <row r="89" spans="1:121" x14ac:dyDescent="0.2">
      <c r="A89" s="830"/>
      <c r="B89" s="832"/>
      <c r="C89" s="830"/>
      <c r="D89" s="103" t="s">
        <v>1535</v>
      </c>
      <c r="E89" s="531"/>
      <c r="F89" s="331"/>
      <c r="G89" s="331" t="s">
        <v>49</v>
      </c>
      <c r="H89" s="383" t="s">
        <v>328</v>
      </c>
      <c r="I89" s="383" t="s">
        <v>316</v>
      </c>
      <c r="J89" s="402">
        <v>45109</v>
      </c>
      <c r="K89" s="402">
        <v>46205</v>
      </c>
      <c r="L89" s="457" t="s">
        <v>493</v>
      </c>
      <c r="M89" s="355"/>
      <c r="N89" s="355"/>
      <c r="O89" s="355"/>
      <c r="P89" s="458"/>
      <c r="Q89" s="355"/>
      <c r="R89" s="355"/>
      <c r="S89" s="355"/>
      <c r="T89" s="355"/>
      <c r="U89" s="355"/>
      <c r="V89" s="355"/>
      <c r="W89" s="355"/>
      <c r="X89" s="355"/>
      <c r="Y89" s="355"/>
      <c r="Z89" s="459">
        <f t="shared" si="53"/>
        <v>0</v>
      </c>
      <c r="AA89" s="451">
        <f t="shared" si="49"/>
        <v>0</v>
      </c>
      <c r="AB89" s="451">
        <f t="shared" si="50"/>
        <v>0</v>
      </c>
      <c r="AC89" s="450" t="e">
        <f t="shared" si="51"/>
        <v>#VALUE!</v>
      </c>
      <c r="AD89" s="450"/>
      <c r="AE89" s="450"/>
      <c r="AF89" s="450"/>
      <c r="AG89" s="450"/>
      <c r="AH89" s="331"/>
      <c r="AI89" s="334">
        <v>36</v>
      </c>
      <c r="AJ89" s="334" t="s">
        <v>1304</v>
      </c>
      <c r="AK89" s="334">
        <v>0</v>
      </c>
      <c r="AL89" s="334">
        <v>0</v>
      </c>
      <c r="AM89" s="334" t="s">
        <v>53</v>
      </c>
      <c r="AN89" s="334" t="s">
        <v>53</v>
      </c>
      <c r="AO89" s="334" t="s">
        <v>53</v>
      </c>
      <c r="AP89" s="334" t="s">
        <v>54</v>
      </c>
      <c r="AQ89" s="331"/>
      <c r="AR89" s="357"/>
      <c r="AS89" s="357"/>
      <c r="AT89" s="357"/>
      <c r="AU89" s="357"/>
      <c r="AV89" s="357"/>
      <c r="AW89" s="357"/>
      <c r="AX89" s="357"/>
      <c r="AY89" s="357"/>
      <c r="AZ89" s="357"/>
      <c r="BA89" s="357"/>
      <c r="BB89" s="357"/>
      <c r="BC89" s="357"/>
      <c r="BD89" s="358"/>
      <c r="BE89" s="357"/>
      <c r="BF89" s="357"/>
      <c r="BG89" s="357"/>
      <c r="BH89" s="357"/>
      <c r="BI89" s="357"/>
      <c r="BJ89" s="357"/>
      <c r="BK89" s="357"/>
      <c r="BL89" s="357"/>
      <c r="BM89" s="357"/>
      <c r="BN89" s="357"/>
      <c r="BO89" s="357"/>
      <c r="BP89" s="357"/>
      <c r="BQ89" s="390"/>
      <c r="BR89" s="357"/>
      <c r="BS89" s="357"/>
      <c r="BT89" s="357"/>
      <c r="BU89" s="357"/>
      <c r="BV89" s="357"/>
      <c r="BW89" s="357"/>
      <c r="BX89" s="357"/>
      <c r="BY89" s="357"/>
      <c r="BZ89" s="357"/>
      <c r="CA89" s="357"/>
      <c r="CB89" s="357"/>
      <c r="CC89" s="357"/>
      <c r="CD89" s="357"/>
      <c r="CE89" s="331"/>
      <c r="CF89" s="331"/>
      <c r="CG89" s="331"/>
      <c r="CH89" s="331"/>
      <c r="CI89" s="331"/>
      <c r="CJ89" s="331"/>
      <c r="CK89" s="331"/>
      <c r="CL89" s="331"/>
      <c r="CM89" s="331"/>
      <c r="CN89" s="331"/>
      <c r="CO89" s="331"/>
      <c r="CP89" s="331"/>
      <c r="CQ89" s="331"/>
      <c r="CR89" s="331"/>
      <c r="CS89" s="331"/>
      <c r="CT89" s="331"/>
      <c r="CU89" s="331"/>
      <c r="CV89" s="331"/>
      <c r="CW89" s="331"/>
      <c r="CX89" s="331"/>
      <c r="CY89" s="331"/>
      <c r="CZ89" s="331"/>
      <c r="DA89" s="331"/>
      <c r="DB89" s="331"/>
      <c r="DC89" s="331"/>
      <c r="DD89" s="331"/>
      <c r="DE89" s="1"/>
      <c r="DF89" s="1"/>
      <c r="DG89" s="1"/>
      <c r="DH89" s="1"/>
      <c r="DI89" s="1"/>
      <c r="DJ89" s="1"/>
      <c r="DK89" s="1"/>
      <c r="DL89" s="1"/>
      <c r="DM89" s="1"/>
      <c r="DN89" s="1"/>
      <c r="DO89" s="1"/>
      <c r="DP89" s="1"/>
      <c r="DQ89" s="1"/>
    </row>
    <row r="90" spans="1:121" x14ac:dyDescent="0.2">
      <c r="A90" s="830"/>
      <c r="B90" s="832"/>
      <c r="C90" s="830"/>
      <c r="D90" s="103" t="s">
        <v>1536</v>
      </c>
      <c r="E90" s="443"/>
      <c r="F90" s="331"/>
      <c r="G90" s="331" t="s">
        <v>49</v>
      </c>
      <c r="H90" s="383" t="s">
        <v>328</v>
      </c>
      <c r="I90" s="383" t="s">
        <v>316</v>
      </c>
      <c r="J90" s="402">
        <v>45109</v>
      </c>
      <c r="K90" s="402">
        <v>46205</v>
      </c>
      <c r="L90" s="457" t="s">
        <v>493</v>
      </c>
      <c r="M90" s="355"/>
      <c r="N90" s="355"/>
      <c r="O90" s="355"/>
      <c r="P90" s="458"/>
      <c r="Q90" s="355"/>
      <c r="R90" s="355"/>
      <c r="S90" s="355"/>
      <c r="T90" s="355"/>
      <c r="U90" s="355"/>
      <c r="V90" s="355"/>
      <c r="W90" s="355"/>
      <c r="X90" s="355"/>
      <c r="Y90" s="355"/>
      <c r="Z90" s="459">
        <f t="shared" si="53"/>
        <v>0</v>
      </c>
      <c r="AA90" s="451">
        <f t="shared" si="49"/>
        <v>0</v>
      </c>
      <c r="AB90" s="451">
        <f t="shared" si="50"/>
        <v>0</v>
      </c>
      <c r="AC90" s="450" t="e">
        <f t="shared" si="51"/>
        <v>#VALUE!</v>
      </c>
      <c r="AD90" s="450"/>
      <c r="AE90" s="450"/>
      <c r="AF90" s="450"/>
      <c r="AG90" s="450"/>
      <c r="AH90" s="331"/>
      <c r="AI90" s="334">
        <v>36</v>
      </c>
      <c r="AJ90" s="334" t="s">
        <v>1304</v>
      </c>
      <c r="AK90" s="334">
        <v>0</v>
      </c>
      <c r="AL90" s="334">
        <v>0</v>
      </c>
      <c r="AM90" s="334" t="s">
        <v>53</v>
      </c>
      <c r="AN90" s="334" t="s">
        <v>53</v>
      </c>
      <c r="AO90" s="334" t="s">
        <v>53</v>
      </c>
      <c r="AP90" s="334" t="s">
        <v>54</v>
      </c>
      <c r="AQ90" s="331"/>
      <c r="AR90" s="357"/>
      <c r="AS90" s="357"/>
      <c r="AT90" s="357"/>
      <c r="AU90" s="357"/>
      <c r="AV90" s="357"/>
      <c r="AW90" s="357"/>
      <c r="AX90" s="357"/>
      <c r="AY90" s="357"/>
      <c r="AZ90" s="357"/>
      <c r="BA90" s="357"/>
      <c r="BB90" s="357"/>
      <c r="BC90" s="357"/>
      <c r="BD90" s="358"/>
      <c r="BE90" s="357"/>
      <c r="BF90" s="357"/>
      <c r="BG90" s="357"/>
      <c r="BH90" s="357"/>
      <c r="BI90" s="357"/>
      <c r="BJ90" s="357"/>
      <c r="BK90" s="357"/>
      <c r="BL90" s="357"/>
      <c r="BM90" s="357"/>
      <c r="BN90" s="357"/>
      <c r="BO90" s="357"/>
      <c r="BP90" s="357"/>
      <c r="BQ90" s="390"/>
      <c r="BR90" s="357"/>
      <c r="BS90" s="357"/>
      <c r="BT90" s="357"/>
      <c r="BU90" s="357"/>
      <c r="BV90" s="357"/>
      <c r="BW90" s="357"/>
      <c r="BX90" s="357"/>
      <c r="BY90" s="357"/>
      <c r="BZ90" s="357"/>
      <c r="CA90" s="357"/>
      <c r="CB90" s="357"/>
      <c r="CC90" s="357"/>
      <c r="CD90" s="357"/>
      <c r="CE90" s="331"/>
      <c r="CF90" s="331"/>
      <c r="CG90" s="331"/>
      <c r="CH90" s="331"/>
      <c r="CI90" s="331"/>
      <c r="CJ90" s="331"/>
      <c r="CK90" s="331"/>
      <c r="CL90" s="331"/>
      <c r="CM90" s="331"/>
      <c r="CN90" s="331"/>
      <c r="CO90" s="331"/>
      <c r="CP90" s="331"/>
      <c r="CQ90" s="331"/>
      <c r="CR90" s="331"/>
      <c r="CS90" s="331"/>
      <c r="CT90" s="331"/>
      <c r="CU90" s="331"/>
      <c r="CV90" s="331"/>
      <c r="CW90" s="331"/>
      <c r="CX90" s="331"/>
      <c r="CY90" s="331"/>
      <c r="CZ90" s="331"/>
      <c r="DA90" s="331"/>
      <c r="DB90" s="331"/>
      <c r="DC90" s="331"/>
      <c r="DD90" s="331"/>
      <c r="DE90" s="1"/>
      <c r="DF90" s="1"/>
      <c r="DG90" s="1"/>
      <c r="DH90" s="1"/>
      <c r="DI90" s="1"/>
      <c r="DJ90" s="1"/>
      <c r="DK90" s="1"/>
      <c r="DL90" s="1"/>
      <c r="DM90" s="1"/>
      <c r="DN90" s="1"/>
      <c r="DO90" s="1"/>
      <c r="DP90" s="1"/>
      <c r="DQ90" s="1"/>
    </row>
    <row r="91" spans="1:121" x14ac:dyDescent="0.2">
      <c r="A91" s="830"/>
      <c r="B91" s="832"/>
      <c r="C91" s="830"/>
      <c r="D91" s="103" t="s">
        <v>1537</v>
      </c>
      <c r="E91" s="443"/>
      <c r="F91" s="331"/>
      <c r="G91" s="331" t="s">
        <v>49</v>
      </c>
      <c r="H91" s="383" t="s">
        <v>328</v>
      </c>
      <c r="I91" s="383" t="s">
        <v>316</v>
      </c>
      <c r="J91" s="402">
        <v>45109</v>
      </c>
      <c r="K91" s="402">
        <v>46205</v>
      </c>
      <c r="L91" s="457" t="s">
        <v>493</v>
      </c>
      <c r="M91" s="355"/>
      <c r="N91" s="355"/>
      <c r="O91" s="355"/>
      <c r="P91" s="458"/>
      <c r="Q91" s="355"/>
      <c r="R91" s="355"/>
      <c r="S91" s="355"/>
      <c r="T91" s="355"/>
      <c r="U91" s="355"/>
      <c r="V91" s="355"/>
      <c r="W91" s="355"/>
      <c r="X91" s="355"/>
      <c r="Y91" s="355"/>
      <c r="Z91" s="459">
        <f t="shared" si="53"/>
        <v>0</v>
      </c>
      <c r="AA91" s="451">
        <f t="shared" si="49"/>
        <v>0</v>
      </c>
      <c r="AB91" s="451">
        <f t="shared" si="50"/>
        <v>0</v>
      </c>
      <c r="AC91" s="450" t="e">
        <f t="shared" si="51"/>
        <v>#VALUE!</v>
      </c>
      <c r="AD91" s="450"/>
      <c r="AE91" s="450"/>
      <c r="AF91" s="450"/>
      <c r="AG91" s="450"/>
      <c r="AH91" s="331"/>
      <c r="AI91" s="334">
        <v>36</v>
      </c>
      <c r="AJ91" s="334" t="s">
        <v>1304</v>
      </c>
      <c r="AK91" s="334">
        <v>0</v>
      </c>
      <c r="AL91" s="334">
        <v>0</v>
      </c>
      <c r="AM91" s="334" t="s">
        <v>53</v>
      </c>
      <c r="AN91" s="334" t="s">
        <v>53</v>
      </c>
      <c r="AO91" s="334" t="s">
        <v>53</v>
      </c>
      <c r="AP91" s="334" t="s">
        <v>54</v>
      </c>
      <c r="AQ91" s="331"/>
      <c r="AR91" s="357"/>
      <c r="AS91" s="357"/>
      <c r="AT91" s="357"/>
      <c r="AU91" s="357"/>
      <c r="AV91" s="357"/>
      <c r="AW91" s="357"/>
      <c r="AX91" s="357"/>
      <c r="AY91" s="357"/>
      <c r="AZ91" s="357"/>
      <c r="BA91" s="357"/>
      <c r="BB91" s="357"/>
      <c r="BC91" s="357"/>
      <c r="BD91" s="358"/>
      <c r="BE91" s="357"/>
      <c r="BF91" s="357"/>
      <c r="BG91" s="357"/>
      <c r="BH91" s="357"/>
      <c r="BI91" s="357"/>
      <c r="BJ91" s="357"/>
      <c r="BK91" s="357"/>
      <c r="BL91" s="357"/>
      <c r="BM91" s="357"/>
      <c r="BN91" s="357"/>
      <c r="BO91" s="357"/>
      <c r="BP91" s="357"/>
      <c r="BQ91" s="390"/>
      <c r="BR91" s="357"/>
      <c r="BS91" s="357"/>
      <c r="BT91" s="357"/>
      <c r="BU91" s="357"/>
      <c r="BV91" s="357"/>
      <c r="BW91" s="357"/>
      <c r="BX91" s="357"/>
      <c r="BY91" s="357"/>
      <c r="BZ91" s="357"/>
      <c r="CA91" s="357"/>
      <c r="CB91" s="357"/>
      <c r="CC91" s="357"/>
      <c r="CD91" s="357"/>
      <c r="CE91" s="331"/>
      <c r="CF91" s="331"/>
      <c r="CG91" s="331"/>
      <c r="CH91" s="331"/>
      <c r="CI91" s="331"/>
      <c r="CJ91" s="331"/>
      <c r="CK91" s="331"/>
      <c r="CL91" s="331"/>
      <c r="CM91" s="331"/>
      <c r="CN91" s="331"/>
      <c r="CO91" s="331"/>
      <c r="CP91" s="331"/>
      <c r="CQ91" s="331"/>
      <c r="CR91" s="331"/>
      <c r="CS91" s="331"/>
      <c r="CT91" s="331"/>
      <c r="CU91" s="331"/>
      <c r="CV91" s="331"/>
      <c r="CW91" s="331"/>
      <c r="CX91" s="331"/>
      <c r="CY91" s="331"/>
      <c r="CZ91" s="331"/>
      <c r="DA91" s="331"/>
      <c r="DB91" s="331"/>
      <c r="DC91" s="331"/>
      <c r="DD91" s="331"/>
      <c r="DE91" s="1"/>
      <c r="DF91" s="1"/>
      <c r="DG91" s="1"/>
      <c r="DH91" s="1"/>
      <c r="DI91" s="1"/>
      <c r="DJ91" s="1"/>
      <c r="DK91" s="1"/>
      <c r="DL91" s="1"/>
      <c r="DM91" s="1"/>
      <c r="DN91" s="1"/>
      <c r="DO91" s="1"/>
      <c r="DP91" s="1"/>
      <c r="DQ91" s="1"/>
    </row>
    <row r="92" spans="1:121" x14ac:dyDescent="0.2">
      <c r="A92" s="830"/>
      <c r="B92" s="832"/>
      <c r="C92" s="830"/>
      <c r="D92" s="103" t="s">
        <v>1538</v>
      </c>
      <c r="E92" s="443"/>
      <c r="F92" s="331"/>
      <c r="G92" s="331" t="s">
        <v>49</v>
      </c>
      <c r="H92" s="383" t="s">
        <v>328</v>
      </c>
      <c r="I92" s="383" t="s">
        <v>316</v>
      </c>
      <c r="J92" s="402">
        <v>45109</v>
      </c>
      <c r="K92" s="402">
        <v>46205</v>
      </c>
      <c r="L92" s="457" t="s">
        <v>493</v>
      </c>
      <c r="M92" s="355"/>
      <c r="N92" s="355"/>
      <c r="O92" s="355"/>
      <c r="P92" s="458"/>
      <c r="Q92" s="355"/>
      <c r="R92" s="355"/>
      <c r="S92" s="355"/>
      <c r="T92" s="355"/>
      <c r="U92" s="355"/>
      <c r="V92" s="355"/>
      <c r="W92" s="355"/>
      <c r="X92" s="355"/>
      <c r="Y92" s="355"/>
      <c r="Z92" s="459">
        <f t="shared" si="53"/>
        <v>0</v>
      </c>
      <c r="AA92" s="451">
        <f t="shared" si="49"/>
        <v>0</v>
      </c>
      <c r="AB92" s="451">
        <f t="shared" si="50"/>
        <v>0</v>
      </c>
      <c r="AC92" s="450" t="e">
        <f t="shared" si="51"/>
        <v>#VALUE!</v>
      </c>
      <c r="AD92" s="450"/>
      <c r="AE92" s="450"/>
      <c r="AF92" s="450"/>
      <c r="AG92" s="450"/>
      <c r="AH92" s="331"/>
      <c r="AI92" s="334">
        <v>36</v>
      </c>
      <c r="AJ92" s="334" t="s">
        <v>1304</v>
      </c>
      <c r="AK92" s="334">
        <v>0</v>
      </c>
      <c r="AL92" s="334">
        <v>0</v>
      </c>
      <c r="AM92" s="334" t="s">
        <v>53</v>
      </c>
      <c r="AN92" s="334" t="s">
        <v>53</v>
      </c>
      <c r="AO92" s="334" t="s">
        <v>53</v>
      </c>
      <c r="AP92" s="334" t="s">
        <v>54</v>
      </c>
      <c r="AQ92" s="331"/>
      <c r="AR92" s="357"/>
      <c r="AS92" s="357"/>
      <c r="AT92" s="357"/>
      <c r="AU92" s="357"/>
      <c r="AV92" s="357"/>
      <c r="AW92" s="357"/>
      <c r="AX92" s="357"/>
      <c r="AY92" s="357"/>
      <c r="AZ92" s="357"/>
      <c r="BA92" s="357"/>
      <c r="BB92" s="357"/>
      <c r="BC92" s="357"/>
      <c r="BD92" s="358"/>
      <c r="BE92" s="357"/>
      <c r="BF92" s="357"/>
      <c r="BG92" s="357"/>
      <c r="BH92" s="357"/>
      <c r="BI92" s="357"/>
      <c r="BJ92" s="357"/>
      <c r="BK92" s="357"/>
      <c r="BL92" s="357"/>
      <c r="BM92" s="357"/>
      <c r="BN92" s="357"/>
      <c r="BO92" s="357"/>
      <c r="BP92" s="357"/>
      <c r="BQ92" s="390"/>
      <c r="BR92" s="357"/>
      <c r="BS92" s="357"/>
      <c r="BT92" s="357"/>
      <c r="BU92" s="357"/>
      <c r="BV92" s="357"/>
      <c r="BW92" s="357"/>
      <c r="BX92" s="357"/>
      <c r="BY92" s="357"/>
      <c r="BZ92" s="357"/>
      <c r="CA92" s="357"/>
      <c r="CB92" s="357"/>
      <c r="CC92" s="357"/>
      <c r="CD92" s="357"/>
      <c r="CE92" s="331"/>
      <c r="CF92" s="331"/>
      <c r="CG92" s="331"/>
      <c r="CH92" s="331"/>
      <c r="CI92" s="331"/>
      <c r="CJ92" s="331"/>
      <c r="CK92" s="331"/>
      <c r="CL92" s="331"/>
      <c r="CM92" s="331"/>
      <c r="CN92" s="331"/>
      <c r="CO92" s="331"/>
      <c r="CP92" s="331"/>
      <c r="CQ92" s="331"/>
      <c r="CR92" s="331"/>
      <c r="CS92" s="331"/>
      <c r="CT92" s="331"/>
      <c r="CU92" s="331"/>
      <c r="CV92" s="331"/>
      <c r="CW92" s="331"/>
      <c r="CX92" s="331"/>
      <c r="CY92" s="331"/>
      <c r="CZ92" s="331"/>
      <c r="DA92" s="331"/>
      <c r="DB92" s="331"/>
      <c r="DC92" s="331"/>
      <c r="DD92" s="331"/>
      <c r="DE92" s="1"/>
      <c r="DF92" s="1"/>
      <c r="DG92" s="1"/>
      <c r="DH92" s="1"/>
      <c r="DI92" s="1"/>
      <c r="DJ92" s="1"/>
      <c r="DK92" s="1"/>
      <c r="DL92" s="1"/>
      <c r="DM92" s="1"/>
      <c r="DN92" s="1"/>
      <c r="DO92" s="1"/>
      <c r="DP92" s="1"/>
      <c r="DQ92" s="1"/>
    </row>
    <row r="93" spans="1:121" x14ac:dyDescent="0.2">
      <c r="A93" s="830"/>
      <c r="B93" s="832"/>
      <c r="C93" s="830"/>
      <c r="D93" s="103" t="s">
        <v>1539</v>
      </c>
      <c r="E93" s="531"/>
      <c r="F93" s="331"/>
      <c r="G93" s="331" t="s">
        <v>49</v>
      </c>
      <c r="H93" s="383" t="s">
        <v>328</v>
      </c>
      <c r="I93" s="383" t="s">
        <v>316</v>
      </c>
      <c r="J93" s="402">
        <v>45109</v>
      </c>
      <c r="K93" s="402">
        <v>46205</v>
      </c>
      <c r="L93" s="457" t="s">
        <v>493</v>
      </c>
      <c r="M93" s="355"/>
      <c r="N93" s="355"/>
      <c r="O93" s="355"/>
      <c r="P93" s="458"/>
      <c r="Q93" s="355"/>
      <c r="R93" s="355"/>
      <c r="S93" s="355"/>
      <c r="T93" s="355"/>
      <c r="U93" s="355"/>
      <c r="V93" s="355"/>
      <c r="W93" s="355"/>
      <c r="X93" s="355"/>
      <c r="Y93" s="355"/>
      <c r="Z93" s="459">
        <f t="shared" si="53"/>
        <v>0</v>
      </c>
      <c r="AA93" s="451">
        <f t="shared" si="49"/>
        <v>0</v>
      </c>
      <c r="AB93" s="451">
        <f t="shared" si="50"/>
        <v>0</v>
      </c>
      <c r="AC93" s="450" t="e">
        <f t="shared" si="51"/>
        <v>#VALUE!</v>
      </c>
      <c r="AD93" s="450"/>
      <c r="AE93" s="450"/>
      <c r="AF93" s="450"/>
      <c r="AG93" s="450"/>
      <c r="AH93" s="331"/>
      <c r="AI93" s="334">
        <v>36</v>
      </c>
      <c r="AJ93" s="334" t="s">
        <v>1304</v>
      </c>
      <c r="AK93" s="334">
        <v>0</v>
      </c>
      <c r="AL93" s="334">
        <v>0</v>
      </c>
      <c r="AM93" s="334" t="s">
        <v>53</v>
      </c>
      <c r="AN93" s="334" t="s">
        <v>53</v>
      </c>
      <c r="AO93" s="334" t="s">
        <v>53</v>
      </c>
      <c r="AP93" s="334" t="s">
        <v>54</v>
      </c>
      <c r="AQ93" s="331"/>
      <c r="AR93" s="357"/>
      <c r="AS93" s="357"/>
      <c r="AT93" s="357"/>
      <c r="AU93" s="357"/>
      <c r="AV93" s="357"/>
      <c r="AW93" s="357"/>
      <c r="AX93" s="357"/>
      <c r="AY93" s="357"/>
      <c r="AZ93" s="357"/>
      <c r="BA93" s="357"/>
      <c r="BB93" s="357"/>
      <c r="BC93" s="357"/>
      <c r="BD93" s="358"/>
      <c r="BE93" s="357"/>
      <c r="BF93" s="357"/>
      <c r="BG93" s="357"/>
      <c r="BH93" s="357"/>
      <c r="BI93" s="357"/>
      <c r="BJ93" s="357"/>
      <c r="BK93" s="357"/>
      <c r="BL93" s="357"/>
      <c r="BM93" s="357"/>
      <c r="BN93" s="357"/>
      <c r="BO93" s="357"/>
      <c r="BP93" s="357"/>
      <c r="BQ93" s="390"/>
      <c r="BR93" s="357"/>
      <c r="BS93" s="357"/>
      <c r="BT93" s="357"/>
      <c r="BU93" s="357"/>
      <c r="BV93" s="357"/>
      <c r="BW93" s="357"/>
      <c r="BX93" s="357"/>
      <c r="BY93" s="357"/>
      <c r="BZ93" s="357"/>
      <c r="CA93" s="357"/>
      <c r="CB93" s="357"/>
      <c r="CC93" s="357"/>
      <c r="CD93" s="357"/>
      <c r="CE93" s="331"/>
      <c r="CF93" s="331"/>
      <c r="CG93" s="331"/>
      <c r="CH93" s="331"/>
      <c r="CI93" s="331"/>
      <c r="CJ93" s="331"/>
      <c r="CK93" s="331"/>
      <c r="CL93" s="331"/>
      <c r="CM93" s="331"/>
      <c r="CN93" s="331"/>
      <c r="CO93" s="331"/>
      <c r="CP93" s="331"/>
      <c r="CQ93" s="331"/>
      <c r="CR93" s="331"/>
      <c r="CS93" s="331"/>
      <c r="CT93" s="331"/>
      <c r="CU93" s="331"/>
      <c r="CV93" s="331"/>
      <c r="CW93" s="331"/>
      <c r="CX93" s="331"/>
      <c r="CY93" s="331"/>
      <c r="CZ93" s="331"/>
      <c r="DA93" s="331"/>
      <c r="DB93" s="331"/>
      <c r="DC93" s="331"/>
      <c r="DD93" s="331"/>
      <c r="DE93" s="1"/>
      <c r="DF93" s="1"/>
      <c r="DG93" s="1"/>
      <c r="DH93" s="1"/>
      <c r="DI93" s="1"/>
      <c r="DJ93" s="1"/>
      <c r="DK93" s="1"/>
      <c r="DL93" s="1"/>
      <c r="DM93" s="1"/>
      <c r="DN93" s="1"/>
      <c r="DO93" s="1"/>
      <c r="DP93" s="1"/>
      <c r="DQ93" s="1"/>
    </row>
    <row r="94" spans="1:121" x14ac:dyDescent="0.2">
      <c r="A94" s="830"/>
      <c r="B94" s="832"/>
      <c r="C94" s="830"/>
      <c r="D94" s="103" t="s">
        <v>1540</v>
      </c>
      <c r="E94" s="443"/>
      <c r="F94" s="331"/>
      <c r="G94" s="331" t="s">
        <v>49</v>
      </c>
      <c r="H94" s="383" t="s">
        <v>328</v>
      </c>
      <c r="I94" s="383" t="s">
        <v>316</v>
      </c>
      <c r="J94" s="402">
        <v>45109</v>
      </c>
      <c r="K94" s="402">
        <v>46205</v>
      </c>
      <c r="L94" s="457" t="s">
        <v>493</v>
      </c>
      <c r="M94" s="355"/>
      <c r="N94" s="355"/>
      <c r="O94" s="355"/>
      <c r="P94" s="458"/>
      <c r="Q94" s="355"/>
      <c r="R94" s="355"/>
      <c r="S94" s="355"/>
      <c r="T94" s="355"/>
      <c r="U94" s="355"/>
      <c r="V94" s="355"/>
      <c r="W94" s="355"/>
      <c r="X94" s="355"/>
      <c r="Y94" s="355"/>
      <c r="Z94" s="459">
        <f t="shared" si="53"/>
        <v>0</v>
      </c>
      <c r="AA94" s="451">
        <f t="shared" si="49"/>
        <v>0</v>
      </c>
      <c r="AB94" s="451">
        <f t="shared" si="50"/>
        <v>0</v>
      </c>
      <c r="AC94" s="450" t="e">
        <f t="shared" si="51"/>
        <v>#VALUE!</v>
      </c>
      <c r="AD94" s="450"/>
      <c r="AE94" s="450"/>
      <c r="AF94" s="450"/>
      <c r="AG94" s="450"/>
      <c r="AH94" s="331"/>
      <c r="AI94" s="334">
        <v>36</v>
      </c>
      <c r="AJ94" s="334" t="s">
        <v>1304</v>
      </c>
      <c r="AK94" s="334">
        <v>0</v>
      </c>
      <c r="AL94" s="334">
        <v>0</v>
      </c>
      <c r="AM94" s="334" t="s">
        <v>53</v>
      </c>
      <c r="AN94" s="334" t="s">
        <v>53</v>
      </c>
      <c r="AO94" s="334" t="s">
        <v>53</v>
      </c>
      <c r="AP94" s="334" t="s">
        <v>54</v>
      </c>
      <c r="AQ94" s="331"/>
      <c r="AR94" s="357"/>
      <c r="AS94" s="357"/>
      <c r="AT94" s="357"/>
      <c r="AU94" s="357"/>
      <c r="AV94" s="357"/>
      <c r="AW94" s="357"/>
      <c r="AX94" s="357"/>
      <c r="AY94" s="357"/>
      <c r="AZ94" s="357"/>
      <c r="BA94" s="357"/>
      <c r="BB94" s="357"/>
      <c r="BC94" s="357"/>
      <c r="BD94" s="358"/>
      <c r="BE94" s="357"/>
      <c r="BF94" s="357"/>
      <c r="BG94" s="357"/>
      <c r="BH94" s="357"/>
      <c r="BI94" s="357"/>
      <c r="BJ94" s="357"/>
      <c r="BK94" s="357"/>
      <c r="BL94" s="357"/>
      <c r="BM94" s="357"/>
      <c r="BN94" s="357"/>
      <c r="BO94" s="357"/>
      <c r="BP94" s="357"/>
      <c r="BQ94" s="390"/>
      <c r="BR94" s="357"/>
      <c r="BS94" s="357"/>
      <c r="BT94" s="357"/>
      <c r="BU94" s="357"/>
      <c r="BV94" s="357"/>
      <c r="BW94" s="357"/>
      <c r="BX94" s="357"/>
      <c r="BY94" s="357"/>
      <c r="BZ94" s="357"/>
      <c r="CA94" s="357"/>
      <c r="CB94" s="357"/>
      <c r="CC94" s="357"/>
      <c r="CD94" s="357"/>
      <c r="CE94" s="331"/>
      <c r="CF94" s="331"/>
      <c r="CG94" s="331"/>
      <c r="CH94" s="331"/>
      <c r="CI94" s="331"/>
      <c r="CJ94" s="331"/>
      <c r="CK94" s="331"/>
      <c r="CL94" s="331"/>
      <c r="CM94" s="331"/>
      <c r="CN94" s="331"/>
      <c r="CO94" s="331"/>
      <c r="CP94" s="331"/>
      <c r="CQ94" s="331"/>
      <c r="CR94" s="331"/>
      <c r="CS94" s="331"/>
      <c r="CT94" s="331"/>
      <c r="CU94" s="331"/>
      <c r="CV94" s="331"/>
      <c r="CW94" s="331"/>
      <c r="CX94" s="331"/>
      <c r="CY94" s="331"/>
      <c r="CZ94" s="331"/>
      <c r="DA94" s="331"/>
      <c r="DB94" s="331"/>
      <c r="DC94" s="331"/>
      <c r="DD94" s="331"/>
      <c r="DE94" s="1"/>
      <c r="DF94" s="1"/>
      <c r="DG94" s="1"/>
      <c r="DH94" s="1"/>
      <c r="DI94" s="1"/>
      <c r="DJ94" s="1"/>
      <c r="DK94" s="1"/>
      <c r="DL94" s="1"/>
      <c r="DM94" s="1"/>
      <c r="DN94" s="1"/>
      <c r="DO94" s="1"/>
      <c r="DP94" s="1"/>
      <c r="DQ94" s="1"/>
    </row>
    <row r="95" spans="1:121" x14ac:dyDescent="0.2">
      <c r="A95" s="830"/>
      <c r="B95" s="832"/>
      <c r="C95" s="830"/>
      <c r="D95" s="103" t="s">
        <v>1541</v>
      </c>
      <c r="E95" s="443"/>
      <c r="F95" s="331"/>
      <c r="G95" s="331" t="s">
        <v>49</v>
      </c>
      <c r="H95" s="383" t="s">
        <v>328</v>
      </c>
      <c r="I95" s="383" t="s">
        <v>316</v>
      </c>
      <c r="J95" s="402">
        <v>45109</v>
      </c>
      <c r="K95" s="402">
        <v>46205</v>
      </c>
      <c r="L95" s="457" t="s">
        <v>493</v>
      </c>
      <c r="M95" s="355"/>
      <c r="N95" s="355"/>
      <c r="O95" s="355"/>
      <c r="P95" s="458"/>
      <c r="Q95" s="355"/>
      <c r="R95" s="355"/>
      <c r="S95" s="355"/>
      <c r="T95" s="355"/>
      <c r="U95" s="355"/>
      <c r="V95" s="355"/>
      <c r="W95" s="355"/>
      <c r="X95" s="355"/>
      <c r="Y95" s="355"/>
      <c r="Z95" s="459">
        <f t="shared" si="53"/>
        <v>0</v>
      </c>
      <c r="AA95" s="451">
        <f t="shared" si="49"/>
        <v>0</v>
      </c>
      <c r="AB95" s="451">
        <f t="shared" si="50"/>
        <v>0</v>
      </c>
      <c r="AC95" s="450" t="e">
        <f t="shared" si="51"/>
        <v>#VALUE!</v>
      </c>
      <c r="AD95" s="450"/>
      <c r="AE95" s="450"/>
      <c r="AF95" s="450"/>
      <c r="AG95" s="450"/>
      <c r="AH95" s="331"/>
      <c r="AI95" s="334">
        <v>36</v>
      </c>
      <c r="AJ95" s="334" t="s">
        <v>1304</v>
      </c>
      <c r="AK95" s="334">
        <v>0</v>
      </c>
      <c r="AL95" s="334">
        <v>0</v>
      </c>
      <c r="AM95" s="334" t="s">
        <v>53</v>
      </c>
      <c r="AN95" s="334" t="s">
        <v>53</v>
      </c>
      <c r="AO95" s="334" t="s">
        <v>53</v>
      </c>
      <c r="AP95" s="334" t="s">
        <v>54</v>
      </c>
      <c r="AQ95" s="331"/>
      <c r="AR95" s="357"/>
      <c r="AS95" s="357"/>
      <c r="AT95" s="357"/>
      <c r="AU95" s="357"/>
      <c r="AV95" s="357"/>
      <c r="AW95" s="357"/>
      <c r="AX95" s="357"/>
      <c r="AY95" s="357"/>
      <c r="AZ95" s="357"/>
      <c r="BA95" s="357"/>
      <c r="BB95" s="357"/>
      <c r="BC95" s="357"/>
      <c r="BD95" s="358"/>
      <c r="BE95" s="357"/>
      <c r="BF95" s="357"/>
      <c r="BG95" s="357"/>
      <c r="BH95" s="357"/>
      <c r="BI95" s="357"/>
      <c r="BJ95" s="357"/>
      <c r="BK95" s="357"/>
      <c r="BL95" s="357"/>
      <c r="BM95" s="357"/>
      <c r="BN95" s="357"/>
      <c r="BO95" s="357"/>
      <c r="BP95" s="357"/>
      <c r="BQ95" s="390"/>
      <c r="BR95" s="357"/>
      <c r="BS95" s="357"/>
      <c r="BT95" s="357"/>
      <c r="BU95" s="357"/>
      <c r="BV95" s="357"/>
      <c r="BW95" s="357"/>
      <c r="BX95" s="357"/>
      <c r="BY95" s="357"/>
      <c r="BZ95" s="357"/>
      <c r="CA95" s="357"/>
      <c r="CB95" s="357"/>
      <c r="CC95" s="357"/>
      <c r="CD95" s="357"/>
      <c r="CE95" s="331"/>
      <c r="CF95" s="331"/>
      <c r="CG95" s="331"/>
      <c r="CH95" s="331"/>
      <c r="CI95" s="331"/>
      <c r="CJ95" s="331"/>
      <c r="CK95" s="331"/>
      <c r="CL95" s="331"/>
      <c r="CM95" s="331"/>
      <c r="CN95" s="331"/>
      <c r="CO95" s="331"/>
      <c r="CP95" s="331"/>
      <c r="CQ95" s="331"/>
      <c r="CR95" s="331"/>
      <c r="CS95" s="331"/>
      <c r="CT95" s="331"/>
      <c r="CU95" s="331"/>
      <c r="CV95" s="331"/>
      <c r="CW95" s="331"/>
      <c r="CX95" s="331"/>
      <c r="CY95" s="331"/>
      <c r="CZ95" s="331"/>
      <c r="DA95" s="331"/>
      <c r="DB95" s="331"/>
      <c r="DC95" s="331"/>
      <c r="DD95" s="331"/>
      <c r="DE95" s="1"/>
      <c r="DF95" s="1"/>
      <c r="DG95" s="1"/>
      <c r="DH95" s="1"/>
      <c r="DI95" s="1"/>
      <c r="DJ95" s="1"/>
      <c r="DK95" s="1"/>
      <c r="DL95" s="1"/>
      <c r="DM95" s="1"/>
      <c r="DN95" s="1"/>
      <c r="DO95" s="1"/>
      <c r="DP95" s="1"/>
      <c r="DQ95" s="1"/>
    </row>
    <row r="96" spans="1:121" x14ac:dyDescent="0.2">
      <c r="A96" s="830"/>
      <c r="B96" s="832"/>
      <c r="C96" s="830"/>
      <c r="D96" s="103" t="s">
        <v>1542</v>
      </c>
      <c r="E96" s="443"/>
      <c r="F96" s="331"/>
      <c r="G96" s="331" t="s">
        <v>49</v>
      </c>
      <c r="H96" s="383" t="s">
        <v>328</v>
      </c>
      <c r="I96" s="383" t="s">
        <v>316</v>
      </c>
      <c r="J96" s="402">
        <v>45109</v>
      </c>
      <c r="K96" s="402">
        <v>46205</v>
      </c>
      <c r="L96" s="457" t="s">
        <v>493</v>
      </c>
      <c r="M96" s="355"/>
      <c r="N96" s="355"/>
      <c r="O96" s="355"/>
      <c r="P96" s="458"/>
      <c r="Q96" s="355"/>
      <c r="R96" s="355"/>
      <c r="S96" s="355"/>
      <c r="T96" s="355"/>
      <c r="U96" s="355"/>
      <c r="V96" s="355"/>
      <c r="W96" s="355"/>
      <c r="X96" s="355"/>
      <c r="Y96" s="355"/>
      <c r="Z96" s="459">
        <f t="shared" si="53"/>
        <v>0</v>
      </c>
      <c r="AA96" s="451">
        <f t="shared" si="49"/>
        <v>0</v>
      </c>
      <c r="AB96" s="451">
        <f t="shared" si="50"/>
        <v>0</v>
      </c>
      <c r="AC96" s="450" t="e">
        <f t="shared" si="51"/>
        <v>#VALUE!</v>
      </c>
      <c r="AD96" s="450"/>
      <c r="AE96" s="450"/>
      <c r="AF96" s="450"/>
      <c r="AG96" s="450"/>
      <c r="AH96" s="331"/>
      <c r="AI96" s="334">
        <v>36</v>
      </c>
      <c r="AJ96" s="334" t="s">
        <v>1304</v>
      </c>
      <c r="AK96" s="334">
        <v>0</v>
      </c>
      <c r="AL96" s="334">
        <v>0</v>
      </c>
      <c r="AM96" s="334" t="s">
        <v>53</v>
      </c>
      <c r="AN96" s="334" t="s">
        <v>53</v>
      </c>
      <c r="AO96" s="334" t="s">
        <v>53</v>
      </c>
      <c r="AP96" s="334" t="s">
        <v>54</v>
      </c>
      <c r="AQ96" s="331"/>
      <c r="AR96" s="357"/>
      <c r="AS96" s="357"/>
      <c r="AT96" s="357"/>
      <c r="AU96" s="357"/>
      <c r="AV96" s="357"/>
      <c r="AW96" s="357"/>
      <c r="AX96" s="357"/>
      <c r="AY96" s="357"/>
      <c r="AZ96" s="357"/>
      <c r="BA96" s="357"/>
      <c r="BB96" s="357"/>
      <c r="BC96" s="357"/>
      <c r="BD96" s="358"/>
      <c r="BE96" s="357"/>
      <c r="BF96" s="357"/>
      <c r="BG96" s="357"/>
      <c r="BH96" s="357"/>
      <c r="BI96" s="357"/>
      <c r="BJ96" s="357"/>
      <c r="BK96" s="357"/>
      <c r="BL96" s="357"/>
      <c r="BM96" s="357"/>
      <c r="BN96" s="357"/>
      <c r="BO96" s="357"/>
      <c r="BP96" s="357"/>
      <c r="BQ96" s="390"/>
      <c r="BR96" s="357"/>
      <c r="BS96" s="357"/>
      <c r="BT96" s="357"/>
      <c r="BU96" s="357"/>
      <c r="BV96" s="357"/>
      <c r="BW96" s="357"/>
      <c r="BX96" s="357"/>
      <c r="BY96" s="357"/>
      <c r="BZ96" s="357"/>
      <c r="CA96" s="357"/>
      <c r="CB96" s="357"/>
      <c r="CC96" s="357"/>
      <c r="CD96" s="357"/>
      <c r="CE96" s="331"/>
      <c r="CF96" s="331"/>
      <c r="CG96" s="331"/>
      <c r="CH96" s="331"/>
      <c r="CI96" s="331"/>
      <c r="CJ96" s="331"/>
      <c r="CK96" s="331"/>
      <c r="CL96" s="331"/>
      <c r="CM96" s="331"/>
      <c r="CN96" s="331"/>
      <c r="CO96" s="331"/>
      <c r="CP96" s="331"/>
      <c r="CQ96" s="331"/>
      <c r="CR96" s="331"/>
      <c r="CS96" s="331"/>
      <c r="CT96" s="331"/>
      <c r="CU96" s="331"/>
      <c r="CV96" s="331"/>
      <c r="CW96" s="331"/>
      <c r="CX96" s="331"/>
      <c r="CY96" s="331"/>
      <c r="CZ96" s="331"/>
      <c r="DA96" s="331"/>
      <c r="DB96" s="331"/>
      <c r="DC96" s="331"/>
      <c r="DD96" s="331"/>
      <c r="DE96" s="1"/>
      <c r="DF96" s="1"/>
      <c r="DG96" s="1"/>
      <c r="DH96" s="1"/>
      <c r="DI96" s="1"/>
      <c r="DJ96" s="1"/>
      <c r="DK96" s="1"/>
      <c r="DL96" s="1"/>
      <c r="DM96" s="1"/>
      <c r="DN96" s="1"/>
      <c r="DO96" s="1"/>
      <c r="DP96" s="1"/>
      <c r="DQ96" s="1"/>
    </row>
    <row r="97" spans="1:121" x14ac:dyDescent="0.2">
      <c r="A97" s="830"/>
      <c r="B97" s="832"/>
      <c r="C97" s="830"/>
      <c r="D97" s="103" t="s">
        <v>1543</v>
      </c>
      <c r="E97" s="443"/>
      <c r="F97" s="331"/>
      <c r="G97" s="331" t="s">
        <v>49</v>
      </c>
      <c r="H97" s="383" t="s">
        <v>328</v>
      </c>
      <c r="I97" s="383" t="s">
        <v>316</v>
      </c>
      <c r="J97" s="402">
        <v>45109</v>
      </c>
      <c r="K97" s="402">
        <v>46205</v>
      </c>
      <c r="L97" s="457" t="s">
        <v>493</v>
      </c>
      <c r="M97" s="355"/>
      <c r="N97" s="355"/>
      <c r="O97" s="355"/>
      <c r="P97" s="458"/>
      <c r="Q97" s="355"/>
      <c r="R97" s="355"/>
      <c r="S97" s="355"/>
      <c r="T97" s="355"/>
      <c r="U97" s="355"/>
      <c r="V97" s="355"/>
      <c r="W97" s="355"/>
      <c r="X97" s="355"/>
      <c r="Y97" s="355"/>
      <c r="Z97" s="459">
        <f t="shared" si="53"/>
        <v>0</v>
      </c>
      <c r="AA97" s="451">
        <f t="shared" si="49"/>
        <v>0</v>
      </c>
      <c r="AB97" s="451">
        <f t="shared" si="50"/>
        <v>0</v>
      </c>
      <c r="AC97" s="450" t="e">
        <f t="shared" si="51"/>
        <v>#VALUE!</v>
      </c>
      <c r="AD97" s="450"/>
      <c r="AE97" s="450"/>
      <c r="AF97" s="450"/>
      <c r="AG97" s="450"/>
      <c r="AH97" s="331"/>
      <c r="AI97" s="334">
        <v>36</v>
      </c>
      <c r="AJ97" s="334" t="s">
        <v>1304</v>
      </c>
      <c r="AK97" s="334">
        <v>0</v>
      </c>
      <c r="AL97" s="334">
        <v>0</v>
      </c>
      <c r="AM97" s="334" t="s">
        <v>53</v>
      </c>
      <c r="AN97" s="334" t="s">
        <v>53</v>
      </c>
      <c r="AO97" s="334" t="s">
        <v>53</v>
      </c>
      <c r="AP97" s="334" t="s">
        <v>54</v>
      </c>
      <c r="AQ97" s="331"/>
      <c r="AR97" s="357"/>
      <c r="AS97" s="357"/>
      <c r="AT97" s="357"/>
      <c r="AU97" s="357"/>
      <c r="AV97" s="357"/>
      <c r="AW97" s="357"/>
      <c r="AX97" s="357"/>
      <c r="AY97" s="357"/>
      <c r="AZ97" s="357"/>
      <c r="BA97" s="357"/>
      <c r="BB97" s="357"/>
      <c r="BC97" s="357"/>
      <c r="BD97" s="358"/>
      <c r="BE97" s="357"/>
      <c r="BF97" s="357"/>
      <c r="BG97" s="357"/>
      <c r="BH97" s="357"/>
      <c r="BI97" s="357"/>
      <c r="BJ97" s="357"/>
      <c r="BK97" s="357"/>
      <c r="BL97" s="357"/>
      <c r="BM97" s="357"/>
      <c r="BN97" s="357"/>
      <c r="BO97" s="357"/>
      <c r="BP97" s="357"/>
      <c r="BQ97" s="390"/>
      <c r="BR97" s="357"/>
      <c r="BS97" s="357"/>
      <c r="BT97" s="357"/>
      <c r="BU97" s="357"/>
      <c r="BV97" s="357"/>
      <c r="BW97" s="357"/>
      <c r="BX97" s="357"/>
      <c r="BY97" s="357"/>
      <c r="BZ97" s="357"/>
      <c r="CA97" s="357"/>
      <c r="CB97" s="357"/>
      <c r="CC97" s="357"/>
      <c r="CD97" s="357"/>
      <c r="CE97" s="331"/>
      <c r="CF97" s="331"/>
      <c r="CG97" s="331"/>
      <c r="CH97" s="331"/>
      <c r="CI97" s="331"/>
      <c r="CJ97" s="331"/>
      <c r="CK97" s="331"/>
      <c r="CL97" s="331"/>
      <c r="CM97" s="331"/>
      <c r="CN97" s="331"/>
      <c r="CO97" s="331"/>
      <c r="CP97" s="331"/>
      <c r="CQ97" s="331"/>
      <c r="CR97" s="331"/>
      <c r="CS97" s="331"/>
      <c r="CT97" s="331"/>
      <c r="CU97" s="331"/>
      <c r="CV97" s="331"/>
      <c r="CW97" s="331"/>
      <c r="CX97" s="331"/>
      <c r="CY97" s="331"/>
      <c r="CZ97" s="331"/>
      <c r="DA97" s="331"/>
      <c r="DB97" s="331"/>
      <c r="DC97" s="331"/>
      <c r="DD97" s="331"/>
      <c r="DE97" s="1"/>
      <c r="DF97" s="1"/>
      <c r="DG97" s="1"/>
      <c r="DH97" s="1"/>
      <c r="DI97" s="1"/>
      <c r="DJ97" s="1"/>
      <c r="DK97" s="1"/>
      <c r="DL97" s="1"/>
      <c r="DM97" s="1"/>
      <c r="DN97" s="1"/>
      <c r="DO97" s="1"/>
      <c r="DP97" s="1"/>
      <c r="DQ97" s="1"/>
    </row>
    <row r="98" spans="1:121" x14ac:dyDescent="0.2">
      <c r="A98" s="830"/>
      <c r="B98" s="832"/>
      <c r="C98" s="830"/>
      <c r="D98" s="103" t="s">
        <v>1544</v>
      </c>
      <c r="E98" s="443"/>
      <c r="F98" s="331"/>
      <c r="G98" s="331" t="s">
        <v>49</v>
      </c>
      <c r="H98" s="383" t="s">
        <v>328</v>
      </c>
      <c r="I98" s="383" t="s">
        <v>316</v>
      </c>
      <c r="J98" s="402">
        <v>45109</v>
      </c>
      <c r="K98" s="402">
        <v>46205</v>
      </c>
      <c r="L98" s="457" t="s">
        <v>493</v>
      </c>
      <c r="M98" s="355"/>
      <c r="N98" s="355"/>
      <c r="O98" s="355"/>
      <c r="P98" s="458"/>
      <c r="Q98" s="355"/>
      <c r="R98" s="355"/>
      <c r="S98" s="355"/>
      <c r="T98" s="355"/>
      <c r="U98" s="355"/>
      <c r="V98" s="355"/>
      <c r="W98" s="355"/>
      <c r="X98" s="355"/>
      <c r="Y98" s="355"/>
      <c r="Z98" s="459">
        <f t="shared" si="53"/>
        <v>0</v>
      </c>
      <c r="AA98" s="451">
        <f t="shared" si="49"/>
        <v>0</v>
      </c>
      <c r="AB98" s="451">
        <f t="shared" si="50"/>
        <v>0</v>
      </c>
      <c r="AC98" s="450" t="e">
        <f t="shared" si="51"/>
        <v>#VALUE!</v>
      </c>
      <c r="AD98" s="450"/>
      <c r="AE98" s="450"/>
      <c r="AF98" s="450"/>
      <c r="AG98" s="450"/>
      <c r="AH98" s="331"/>
      <c r="AI98" s="334">
        <v>36</v>
      </c>
      <c r="AJ98" s="334" t="s">
        <v>1304</v>
      </c>
      <c r="AK98" s="334">
        <v>0</v>
      </c>
      <c r="AL98" s="334">
        <v>0</v>
      </c>
      <c r="AM98" s="334" t="s">
        <v>53</v>
      </c>
      <c r="AN98" s="334" t="s">
        <v>53</v>
      </c>
      <c r="AO98" s="334" t="s">
        <v>53</v>
      </c>
      <c r="AP98" s="334" t="s">
        <v>54</v>
      </c>
      <c r="AQ98" s="331"/>
      <c r="AR98" s="357"/>
      <c r="AS98" s="357"/>
      <c r="AT98" s="357"/>
      <c r="AU98" s="357"/>
      <c r="AV98" s="357"/>
      <c r="AW98" s="357"/>
      <c r="AX98" s="357"/>
      <c r="AY98" s="357"/>
      <c r="AZ98" s="357"/>
      <c r="BA98" s="357"/>
      <c r="BB98" s="357"/>
      <c r="BC98" s="357"/>
      <c r="BD98" s="358"/>
      <c r="BE98" s="357"/>
      <c r="BF98" s="357"/>
      <c r="BG98" s="357"/>
      <c r="BH98" s="357"/>
      <c r="BI98" s="357"/>
      <c r="BJ98" s="357"/>
      <c r="BK98" s="357"/>
      <c r="BL98" s="357"/>
      <c r="BM98" s="357"/>
      <c r="BN98" s="357"/>
      <c r="BO98" s="357"/>
      <c r="BP98" s="357"/>
      <c r="BQ98" s="390"/>
      <c r="BR98" s="357"/>
      <c r="BS98" s="357"/>
      <c r="BT98" s="357"/>
      <c r="BU98" s="357"/>
      <c r="BV98" s="357"/>
      <c r="BW98" s="357"/>
      <c r="BX98" s="357"/>
      <c r="BY98" s="357"/>
      <c r="BZ98" s="357"/>
      <c r="CA98" s="357"/>
      <c r="CB98" s="357"/>
      <c r="CC98" s="357"/>
      <c r="CD98" s="357"/>
      <c r="CE98" s="331"/>
      <c r="CF98" s="331"/>
      <c r="CG98" s="331"/>
      <c r="CH98" s="331"/>
      <c r="CI98" s="331"/>
      <c r="CJ98" s="331"/>
      <c r="CK98" s="331"/>
      <c r="CL98" s="331"/>
      <c r="CM98" s="331"/>
      <c r="CN98" s="331"/>
      <c r="CO98" s="331"/>
      <c r="CP98" s="331"/>
      <c r="CQ98" s="331"/>
      <c r="CR98" s="331"/>
      <c r="CS98" s="331"/>
      <c r="CT98" s="331"/>
      <c r="CU98" s="331"/>
      <c r="CV98" s="331"/>
      <c r="CW98" s="331"/>
      <c r="CX98" s="331"/>
      <c r="CY98" s="331"/>
      <c r="CZ98" s="331"/>
      <c r="DA98" s="331"/>
      <c r="DB98" s="331"/>
      <c r="DC98" s="331"/>
      <c r="DD98" s="331"/>
      <c r="DE98" s="1"/>
      <c r="DF98" s="1"/>
      <c r="DG98" s="1"/>
      <c r="DH98" s="1"/>
      <c r="DI98" s="1"/>
      <c r="DJ98" s="1"/>
      <c r="DK98" s="1"/>
      <c r="DL98" s="1"/>
      <c r="DM98" s="1"/>
      <c r="DN98" s="1"/>
      <c r="DO98" s="1"/>
      <c r="DP98" s="1"/>
      <c r="DQ98" s="1"/>
    </row>
    <row r="99" spans="1:121" x14ac:dyDescent="0.2">
      <c r="A99" s="830"/>
      <c r="B99" s="832"/>
      <c r="C99" s="830"/>
      <c r="D99" s="103" t="s">
        <v>1545</v>
      </c>
      <c r="E99" s="443"/>
      <c r="F99" s="331"/>
      <c r="G99" s="331" t="s">
        <v>49</v>
      </c>
      <c r="H99" s="383" t="s">
        <v>328</v>
      </c>
      <c r="I99" s="383" t="s">
        <v>316</v>
      </c>
      <c r="J99" s="402">
        <v>45109</v>
      </c>
      <c r="K99" s="402">
        <v>46205</v>
      </c>
      <c r="L99" s="457" t="s">
        <v>493</v>
      </c>
      <c r="M99" s="355"/>
      <c r="N99" s="355"/>
      <c r="O99" s="355"/>
      <c r="P99" s="458"/>
      <c r="Q99" s="355"/>
      <c r="R99" s="355"/>
      <c r="S99" s="355"/>
      <c r="T99" s="355"/>
      <c r="U99" s="355"/>
      <c r="V99" s="355"/>
      <c r="W99" s="355"/>
      <c r="X99" s="355"/>
      <c r="Y99" s="355"/>
      <c r="Z99" s="459">
        <f t="shared" si="53"/>
        <v>0</v>
      </c>
      <c r="AA99" s="451">
        <f t="shared" si="49"/>
        <v>0</v>
      </c>
      <c r="AB99" s="451">
        <f t="shared" si="50"/>
        <v>0</v>
      </c>
      <c r="AC99" s="450" t="e">
        <f t="shared" si="51"/>
        <v>#VALUE!</v>
      </c>
      <c r="AD99" s="450"/>
      <c r="AE99" s="450"/>
      <c r="AF99" s="450"/>
      <c r="AG99" s="450"/>
      <c r="AH99" s="331"/>
      <c r="AI99" s="334">
        <v>36</v>
      </c>
      <c r="AJ99" s="334" t="s">
        <v>1304</v>
      </c>
      <c r="AK99" s="334">
        <v>0</v>
      </c>
      <c r="AL99" s="334">
        <v>0</v>
      </c>
      <c r="AM99" s="334" t="s">
        <v>53</v>
      </c>
      <c r="AN99" s="334" t="s">
        <v>53</v>
      </c>
      <c r="AO99" s="334" t="s">
        <v>53</v>
      </c>
      <c r="AP99" s="334" t="s">
        <v>54</v>
      </c>
      <c r="AQ99" s="331"/>
      <c r="AR99" s="357"/>
      <c r="AS99" s="357"/>
      <c r="AT99" s="357"/>
      <c r="AU99" s="357"/>
      <c r="AV99" s="357"/>
      <c r="AW99" s="357"/>
      <c r="AX99" s="357"/>
      <c r="AY99" s="357"/>
      <c r="AZ99" s="357"/>
      <c r="BA99" s="357"/>
      <c r="BB99" s="357"/>
      <c r="BC99" s="357"/>
      <c r="BD99" s="358"/>
      <c r="BE99" s="357"/>
      <c r="BF99" s="357"/>
      <c r="BG99" s="357"/>
      <c r="BH99" s="357"/>
      <c r="BI99" s="357"/>
      <c r="BJ99" s="357"/>
      <c r="BK99" s="357"/>
      <c r="BL99" s="357"/>
      <c r="BM99" s="357"/>
      <c r="BN99" s="357"/>
      <c r="BO99" s="357"/>
      <c r="BP99" s="357"/>
      <c r="BQ99" s="390"/>
      <c r="BR99" s="357"/>
      <c r="BS99" s="357"/>
      <c r="BT99" s="357"/>
      <c r="BU99" s="357"/>
      <c r="BV99" s="357"/>
      <c r="BW99" s="357"/>
      <c r="BX99" s="357"/>
      <c r="BY99" s="357"/>
      <c r="BZ99" s="357"/>
      <c r="CA99" s="357"/>
      <c r="CB99" s="357"/>
      <c r="CC99" s="357"/>
      <c r="CD99" s="357"/>
      <c r="CE99" s="331"/>
      <c r="CF99" s="331"/>
      <c r="CG99" s="331"/>
      <c r="CH99" s="331"/>
      <c r="CI99" s="331"/>
      <c r="CJ99" s="331"/>
      <c r="CK99" s="331"/>
      <c r="CL99" s="331"/>
      <c r="CM99" s="331"/>
      <c r="CN99" s="331"/>
      <c r="CO99" s="331"/>
      <c r="CP99" s="331"/>
      <c r="CQ99" s="331"/>
      <c r="CR99" s="331"/>
      <c r="CS99" s="331"/>
      <c r="CT99" s="331"/>
      <c r="CU99" s="331"/>
      <c r="CV99" s="331"/>
      <c r="CW99" s="331"/>
      <c r="CX99" s="331"/>
      <c r="CY99" s="331"/>
      <c r="CZ99" s="331"/>
      <c r="DA99" s="331"/>
      <c r="DB99" s="331"/>
      <c r="DC99" s="331"/>
      <c r="DD99" s="331"/>
      <c r="DE99" s="1"/>
      <c r="DF99" s="1"/>
      <c r="DG99" s="1"/>
      <c r="DH99" s="1"/>
      <c r="DI99" s="1"/>
      <c r="DJ99" s="1"/>
      <c r="DK99" s="1"/>
      <c r="DL99" s="1"/>
      <c r="DM99" s="1"/>
      <c r="DN99" s="1"/>
      <c r="DO99" s="1"/>
      <c r="DP99" s="1"/>
      <c r="DQ99" s="1"/>
    </row>
    <row r="100" spans="1:121" x14ac:dyDescent="0.2">
      <c r="A100" s="830"/>
      <c r="B100" s="832"/>
      <c r="C100" s="830"/>
      <c r="D100" s="103" t="s">
        <v>1546</v>
      </c>
      <c r="E100" s="443"/>
      <c r="F100" s="331"/>
      <c r="G100" s="331" t="s">
        <v>49</v>
      </c>
      <c r="H100" s="383" t="s">
        <v>328</v>
      </c>
      <c r="I100" s="383" t="s">
        <v>316</v>
      </c>
      <c r="J100" s="402">
        <v>45109</v>
      </c>
      <c r="K100" s="402">
        <v>46205</v>
      </c>
      <c r="L100" s="457" t="s">
        <v>493</v>
      </c>
      <c r="M100" s="355"/>
      <c r="N100" s="355"/>
      <c r="O100" s="355"/>
      <c r="P100" s="458"/>
      <c r="Q100" s="355"/>
      <c r="R100" s="355"/>
      <c r="S100" s="355"/>
      <c r="T100" s="355"/>
      <c r="U100" s="355"/>
      <c r="V100" s="355"/>
      <c r="W100" s="355"/>
      <c r="X100" s="355"/>
      <c r="Y100" s="355"/>
      <c r="Z100" s="459">
        <f t="shared" si="53"/>
        <v>0</v>
      </c>
      <c r="AA100" s="451">
        <f t="shared" si="49"/>
        <v>0</v>
      </c>
      <c r="AB100" s="451">
        <f t="shared" si="50"/>
        <v>0</v>
      </c>
      <c r="AC100" s="450" t="e">
        <f t="shared" si="51"/>
        <v>#VALUE!</v>
      </c>
      <c r="AD100" s="450"/>
      <c r="AE100" s="450"/>
      <c r="AF100" s="450"/>
      <c r="AG100" s="450"/>
      <c r="AH100" s="331"/>
      <c r="AI100" s="334">
        <v>36</v>
      </c>
      <c r="AJ100" s="334" t="s">
        <v>1304</v>
      </c>
      <c r="AK100" s="334">
        <v>0</v>
      </c>
      <c r="AL100" s="334">
        <v>0</v>
      </c>
      <c r="AM100" s="334" t="s">
        <v>53</v>
      </c>
      <c r="AN100" s="334" t="s">
        <v>53</v>
      </c>
      <c r="AO100" s="334" t="s">
        <v>53</v>
      </c>
      <c r="AP100" s="334" t="s">
        <v>54</v>
      </c>
      <c r="AQ100" s="331"/>
      <c r="AR100" s="357"/>
      <c r="AS100" s="357"/>
      <c r="AT100" s="357"/>
      <c r="AU100" s="357"/>
      <c r="AV100" s="357"/>
      <c r="AW100" s="357"/>
      <c r="AX100" s="357"/>
      <c r="AY100" s="357"/>
      <c r="AZ100" s="357"/>
      <c r="BA100" s="357"/>
      <c r="BB100" s="357"/>
      <c r="BC100" s="357"/>
      <c r="BD100" s="358"/>
      <c r="BE100" s="357"/>
      <c r="BF100" s="357"/>
      <c r="BG100" s="357"/>
      <c r="BH100" s="357"/>
      <c r="BI100" s="357"/>
      <c r="BJ100" s="357"/>
      <c r="BK100" s="357"/>
      <c r="BL100" s="357"/>
      <c r="BM100" s="357"/>
      <c r="BN100" s="357"/>
      <c r="BO100" s="357"/>
      <c r="BP100" s="357"/>
      <c r="BQ100" s="390"/>
      <c r="BR100" s="357"/>
      <c r="BS100" s="357"/>
      <c r="BT100" s="357"/>
      <c r="BU100" s="357"/>
      <c r="BV100" s="357"/>
      <c r="BW100" s="357"/>
      <c r="BX100" s="357"/>
      <c r="BY100" s="357"/>
      <c r="BZ100" s="357"/>
      <c r="CA100" s="357"/>
      <c r="CB100" s="357"/>
      <c r="CC100" s="357"/>
      <c r="CD100" s="357"/>
      <c r="CE100" s="331"/>
      <c r="CF100" s="331"/>
      <c r="CG100" s="331"/>
      <c r="CH100" s="331"/>
      <c r="CI100" s="331"/>
      <c r="CJ100" s="331"/>
      <c r="CK100" s="331"/>
      <c r="CL100" s="331"/>
      <c r="CM100" s="331"/>
      <c r="CN100" s="331"/>
      <c r="CO100" s="331"/>
      <c r="CP100" s="331"/>
      <c r="CQ100" s="331"/>
      <c r="CR100" s="331"/>
      <c r="CS100" s="331"/>
      <c r="CT100" s="331"/>
      <c r="CU100" s="331"/>
      <c r="CV100" s="331"/>
      <c r="CW100" s="331"/>
      <c r="CX100" s="331"/>
      <c r="CY100" s="331"/>
      <c r="CZ100" s="331"/>
      <c r="DA100" s="331"/>
      <c r="DB100" s="331"/>
      <c r="DC100" s="331"/>
      <c r="DD100" s="331"/>
      <c r="DE100" s="1"/>
      <c r="DF100" s="1"/>
      <c r="DG100" s="1"/>
      <c r="DH100" s="1"/>
      <c r="DI100" s="1"/>
      <c r="DJ100" s="1"/>
      <c r="DK100" s="1"/>
      <c r="DL100" s="1"/>
      <c r="DM100" s="1"/>
      <c r="DN100" s="1"/>
      <c r="DO100" s="1"/>
      <c r="DP100" s="1"/>
      <c r="DQ100" s="1"/>
    </row>
    <row r="101" spans="1:121" x14ac:dyDescent="0.2">
      <c r="A101" s="830"/>
      <c r="B101" s="832"/>
      <c r="C101" s="830"/>
      <c r="D101" s="103" t="s">
        <v>1547</v>
      </c>
      <c r="E101" s="531"/>
      <c r="F101" s="331"/>
      <c r="G101" s="331" t="s">
        <v>49</v>
      </c>
      <c r="H101" s="383" t="s">
        <v>328</v>
      </c>
      <c r="I101" s="383" t="s">
        <v>316</v>
      </c>
      <c r="J101" s="402">
        <v>45109</v>
      </c>
      <c r="K101" s="402">
        <v>46205</v>
      </c>
      <c r="L101" s="457" t="s">
        <v>493</v>
      </c>
      <c r="M101" s="355"/>
      <c r="N101" s="355"/>
      <c r="O101" s="355"/>
      <c r="P101" s="458"/>
      <c r="Q101" s="355"/>
      <c r="R101" s="355"/>
      <c r="S101" s="355"/>
      <c r="T101" s="355"/>
      <c r="U101" s="355"/>
      <c r="V101" s="355"/>
      <c r="W101" s="355"/>
      <c r="X101" s="355"/>
      <c r="Y101" s="355"/>
      <c r="Z101" s="459">
        <f t="shared" si="53"/>
        <v>0</v>
      </c>
      <c r="AA101" s="451">
        <f t="shared" si="49"/>
        <v>0</v>
      </c>
      <c r="AB101" s="451">
        <f t="shared" si="50"/>
        <v>0</v>
      </c>
      <c r="AC101" s="450" t="e">
        <f t="shared" si="51"/>
        <v>#VALUE!</v>
      </c>
      <c r="AD101" s="450"/>
      <c r="AE101" s="450"/>
      <c r="AF101" s="450"/>
      <c r="AG101" s="450"/>
      <c r="AH101" s="331"/>
      <c r="AI101" s="334">
        <v>36</v>
      </c>
      <c r="AJ101" s="334" t="s">
        <v>1304</v>
      </c>
      <c r="AK101" s="334">
        <v>0</v>
      </c>
      <c r="AL101" s="334">
        <v>0</v>
      </c>
      <c r="AM101" s="334" t="s">
        <v>53</v>
      </c>
      <c r="AN101" s="334" t="s">
        <v>53</v>
      </c>
      <c r="AO101" s="334" t="s">
        <v>53</v>
      </c>
      <c r="AP101" s="334" t="s">
        <v>54</v>
      </c>
      <c r="AQ101" s="331"/>
      <c r="AR101" s="357"/>
      <c r="AS101" s="357"/>
      <c r="AT101" s="357"/>
      <c r="AU101" s="357"/>
      <c r="AV101" s="357"/>
      <c r="AW101" s="357"/>
      <c r="AX101" s="357"/>
      <c r="AY101" s="357"/>
      <c r="AZ101" s="357"/>
      <c r="BA101" s="357"/>
      <c r="BB101" s="357"/>
      <c r="BC101" s="357"/>
      <c r="BD101" s="358"/>
      <c r="BE101" s="357"/>
      <c r="BF101" s="357"/>
      <c r="BG101" s="357"/>
      <c r="BH101" s="357"/>
      <c r="BI101" s="357"/>
      <c r="BJ101" s="357"/>
      <c r="BK101" s="357"/>
      <c r="BL101" s="357"/>
      <c r="BM101" s="357"/>
      <c r="BN101" s="357"/>
      <c r="BO101" s="357"/>
      <c r="BP101" s="357"/>
      <c r="BQ101" s="390"/>
      <c r="BR101" s="357"/>
      <c r="BS101" s="357"/>
      <c r="BT101" s="357"/>
      <c r="BU101" s="357"/>
      <c r="BV101" s="357"/>
      <c r="BW101" s="357"/>
      <c r="BX101" s="357"/>
      <c r="BY101" s="357"/>
      <c r="BZ101" s="357"/>
      <c r="CA101" s="357"/>
      <c r="CB101" s="357"/>
      <c r="CC101" s="357"/>
      <c r="CD101" s="357"/>
      <c r="CE101" s="331"/>
      <c r="CF101" s="331"/>
      <c r="CG101" s="331"/>
      <c r="CH101" s="331"/>
      <c r="CI101" s="331"/>
      <c r="CJ101" s="331"/>
      <c r="CK101" s="331"/>
      <c r="CL101" s="331"/>
      <c r="CM101" s="331"/>
      <c r="CN101" s="331"/>
      <c r="CO101" s="331"/>
      <c r="CP101" s="331"/>
      <c r="CQ101" s="331"/>
      <c r="CR101" s="331"/>
      <c r="CS101" s="331"/>
      <c r="CT101" s="331"/>
      <c r="CU101" s="331"/>
      <c r="CV101" s="331"/>
      <c r="CW101" s="331"/>
      <c r="CX101" s="331"/>
      <c r="CY101" s="331"/>
      <c r="CZ101" s="331"/>
      <c r="DA101" s="331"/>
      <c r="DB101" s="331"/>
      <c r="DC101" s="331"/>
      <c r="DD101" s="331"/>
      <c r="DE101" s="1"/>
      <c r="DF101" s="1"/>
      <c r="DG101" s="1"/>
      <c r="DH101" s="1"/>
      <c r="DI101" s="1"/>
      <c r="DJ101" s="1"/>
      <c r="DK101" s="1"/>
      <c r="DL101" s="1"/>
      <c r="DM101" s="1"/>
      <c r="DN101" s="1"/>
      <c r="DO101" s="1"/>
      <c r="DP101" s="1"/>
      <c r="DQ101" s="1"/>
    </row>
    <row r="102" spans="1:121" x14ac:dyDescent="0.2">
      <c r="A102" s="830"/>
      <c r="B102" s="832"/>
      <c r="C102" s="830"/>
      <c r="D102" s="103" t="s">
        <v>1548</v>
      </c>
      <c r="E102" s="443"/>
      <c r="F102" s="331"/>
      <c r="G102" s="331" t="s">
        <v>49</v>
      </c>
      <c r="H102" s="383" t="s">
        <v>328</v>
      </c>
      <c r="I102" s="383" t="s">
        <v>316</v>
      </c>
      <c r="J102" s="402">
        <v>45109</v>
      </c>
      <c r="K102" s="402">
        <v>46205</v>
      </c>
      <c r="L102" s="457" t="s">
        <v>493</v>
      </c>
      <c r="M102" s="355"/>
      <c r="N102" s="355"/>
      <c r="O102" s="355"/>
      <c r="P102" s="458"/>
      <c r="Q102" s="355"/>
      <c r="R102" s="355"/>
      <c r="S102" s="355"/>
      <c r="T102" s="355"/>
      <c r="U102" s="355"/>
      <c r="V102" s="355"/>
      <c r="W102" s="355"/>
      <c r="X102" s="355"/>
      <c r="Y102" s="355"/>
      <c r="Z102" s="459">
        <f t="shared" si="53"/>
        <v>0</v>
      </c>
      <c r="AA102" s="451">
        <f t="shared" si="49"/>
        <v>0</v>
      </c>
      <c r="AB102" s="451">
        <f t="shared" si="50"/>
        <v>0</v>
      </c>
      <c r="AC102" s="450" t="e">
        <f t="shared" si="51"/>
        <v>#VALUE!</v>
      </c>
      <c r="AD102" s="450"/>
      <c r="AE102" s="450"/>
      <c r="AF102" s="450"/>
      <c r="AG102" s="450"/>
      <c r="AH102" s="331"/>
      <c r="AI102" s="334">
        <v>36</v>
      </c>
      <c r="AJ102" s="334" t="s">
        <v>1304</v>
      </c>
      <c r="AK102" s="334">
        <v>0</v>
      </c>
      <c r="AL102" s="334">
        <v>0</v>
      </c>
      <c r="AM102" s="334" t="s">
        <v>53</v>
      </c>
      <c r="AN102" s="334" t="s">
        <v>53</v>
      </c>
      <c r="AO102" s="334" t="s">
        <v>53</v>
      </c>
      <c r="AP102" s="334" t="s">
        <v>54</v>
      </c>
      <c r="AQ102" s="331"/>
      <c r="AR102" s="357"/>
      <c r="AS102" s="357"/>
      <c r="AT102" s="357"/>
      <c r="AU102" s="357"/>
      <c r="AV102" s="357"/>
      <c r="AW102" s="357"/>
      <c r="AX102" s="357"/>
      <c r="AY102" s="357"/>
      <c r="AZ102" s="357"/>
      <c r="BA102" s="357"/>
      <c r="BB102" s="357"/>
      <c r="BC102" s="357"/>
      <c r="BD102" s="358"/>
      <c r="BE102" s="357"/>
      <c r="BF102" s="357"/>
      <c r="BG102" s="357"/>
      <c r="BH102" s="357"/>
      <c r="BI102" s="357"/>
      <c r="BJ102" s="357"/>
      <c r="BK102" s="357"/>
      <c r="BL102" s="357"/>
      <c r="BM102" s="357"/>
      <c r="BN102" s="357"/>
      <c r="BO102" s="357"/>
      <c r="BP102" s="357"/>
      <c r="BQ102" s="390"/>
      <c r="BR102" s="357"/>
      <c r="BS102" s="357"/>
      <c r="BT102" s="357"/>
      <c r="BU102" s="357"/>
      <c r="BV102" s="357"/>
      <c r="BW102" s="357"/>
      <c r="BX102" s="357"/>
      <c r="BY102" s="357"/>
      <c r="BZ102" s="357"/>
      <c r="CA102" s="357"/>
      <c r="CB102" s="357"/>
      <c r="CC102" s="357"/>
      <c r="CD102" s="357"/>
      <c r="CE102" s="331"/>
      <c r="CF102" s="331"/>
      <c r="CG102" s="331"/>
      <c r="CH102" s="331"/>
      <c r="CI102" s="331"/>
      <c r="CJ102" s="331"/>
      <c r="CK102" s="331"/>
      <c r="CL102" s="331"/>
      <c r="CM102" s="331"/>
      <c r="CN102" s="331"/>
      <c r="CO102" s="331"/>
      <c r="CP102" s="331"/>
      <c r="CQ102" s="331"/>
      <c r="CR102" s="331"/>
      <c r="CS102" s="331"/>
      <c r="CT102" s="331"/>
      <c r="CU102" s="331"/>
      <c r="CV102" s="331"/>
      <c r="CW102" s="331"/>
      <c r="CX102" s="331"/>
      <c r="CY102" s="331"/>
      <c r="CZ102" s="331"/>
      <c r="DA102" s="331"/>
      <c r="DB102" s="331"/>
      <c r="DC102" s="331"/>
      <c r="DD102" s="331"/>
      <c r="DE102" s="1"/>
      <c r="DF102" s="1"/>
      <c r="DG102" s="1"/>
      <c r="DH102" s="1"/>
      <c r="DI102" s="1"/>
      <c r="DJ102" s="1"/>
      <c r="DK102" s="1"/>
      <c r="DL102" s="1"/>
      <c r="DM102" s="1"/>
      <c r="DN102" s="1"/>
      <c r="DO102" s="1"/>
      <c r="DP102" s="1"/>
      <c r="DQ102" s="1"/>
    </row>
    <row r="103" spans="1:121" x14ac:dyDescent="0.2">
      <c r="A103" s="830"/>
      <c r="B103" s="832"/>
      <c r="C103" s="830"/>
      <c r="D103" s="103" t="s">
        <v>1549</v>
      </c>
      <c r="E103" s="531"/>
      <c r="F103" s="331"/>
      <c r="G103" s="331" t="s">
        <v>49</v>
      </c>
      <c r="H103" s="383" t="s">
        <v>328</v>
      </c>
      <c r="I103" s="383" t="s">
        <v>316</v>
      </c>
      <c r="J103" s="402">
        <v>45109</v>
      </c>
      <c r="K103" s="402">
        <v>46205</v>
      </c>
      <c r="L103" s="457" t="s">
        <v>493</v>
      </c>
      <c r="M103" s="355"/>
      <c r="N103" s="355"/>
      <c r="O103" s="355"/>
      <c r="P103" s="458"/>
      <c r="Q103" s="355"/>
      <c r="R103" s="355"/>
      <c r="S103" s="355"/>
      <c r="T103" s="355"/>
      <c r="U103" s="355"/>
      <c r="V103" s="355"/>
      <c r="W103" s="355"/>
      <c r="X103" s="355"/>
      <c r="Y103" s="355"/>
      <c r="Z103" s="459">
        <f t="shared" si="53"/>
        <v>0</v>
      </c>
      <c r="AA103" s="451">
        <f t="shared" si="49"/>
        <v>0</v>
      </c>
      <c r="AB103" s="451">
        <f t="shared" si="50"/>
        <v>0</v>
      </c>
      <c r="AC103" s="450" t="e">
        <f t="shared" si="51"/>
        <v>#VALUE!</v>
      </c>
      <c r="AD103" s="450"/>
      <c r="AE103" s="450"/>
      <c r="AF103" s="450"/>
      <c r="AG103" s="450"/>
      <c r="AH103" s="331"/>
      <c r="AI103" s="334">
        <v>36</v>
      </c>
      <c r="AJ103" s="334" t="s">
        <v>1304</v>
      </c>
      <c r="AK103" s="334">
        <v>0</v>
      </c>
      <c r="AL103" s="334">
        <v>0</v>
      </c>
      <c r="AM103" s="334" t="s">
        <v>53</v>
      </c>
      <c r="AN103" s="334" t="s">
        <v>53</v>
      </c>
      <c r="AO103" s="334" t="s">
        <v>53</v>
      </c>
      <c r="AP103" s="334" t="s">
        <v>54</v>
      </c>
      <c r="AQ103" s="331"/>
      <c r="AR103" s="357"/>
      <c r="AS103" s="357"/>
      <c r="AT103" s="357"/>
      <c r="AU103" s="357"/>
      <c r="AV103" s="357"/>
      <c r="AW103" s="357"/>
      <c r="AX103" s="357"/>
      <c r="AY103" s="357"/>
      <c r="AZ103" s="357"/>
      <c r="BA103" s="357"/>
      <c r="BB103" s="357"/>
      <c r="BC103" s="357"/>
      <c r="BD103" s="358"/>
      <c r="BE103" s="357"/>
      <c r="BF103" s="357"/>
      <c r="BG103" s="357"/>
      <c r="BH103" s="357"/>
      <c r="BI103" s="357"/>
      <c r="BJ103" s="357"/>
      <c r="BK103" s="357"/>
      <c r="BL103" s="357"/>
      <c r="BM103" s="357"/>
      <c r="BN103" s="357"/>
      <c r="BO103" s="357"/>
      <c r="BP103" s="357"/>
      <c r="BQ103" s="390"/>
      <c r="BR103" s="357"/>
      <c r="BS103" s="357"/>
      <c r="BT103" s="357"/>
      <c r="BU103" s="357"/>
      <c r="BV103" s="357"/>
      <c r="BW103" s="357"/>
      <c r="BX103" s="357"/>
      <c r="BY103" s="357"/>
      <c r="BZ103" s="357"/>
      <c r="CA103" s="357"/>
      <c r="CB103" s="357"/>
      <c r="CC103" s="357"/>
      <c r="CD103" s="357"/>
      <c r="CE103" s="331"/>
      <c r="CF103" s="331"/>
      <c r="CG103" s="331"/>
      <c r="CH103" s="331"/>
      <c r="CI103" s="331"/>
      <c r="CJ103" s="331"/>
      <c r="CK103" s="331"/>
      <c r="CL103" s="331"/>
      <c r="CM103" s="331"/>
      <c r="CN103" s="331"/>
      <c r="CO103" s="331"/>
      <c r="CP103" s="331"/>
      <c r="CQ103" s="331"/>
      <c r="CR103" s="331"/>
      <c r="CS103" s="331"/>
      <c r="CT103" s="331"/>
      <c r="CU103" s="331"/>
      <c r="CV103" s="331"/>
      <c r="CW103" s="331"/>
      <c r="CX103" s="331"/>
      <c r="CY103" s="331"/>
      <c r="CZ103" s="331"/>
      <c r="DA103" s="331"/>
      <c r="DB103" s="331"/>
      <c r="DC103" s="331"/>
      <c r="DD103" s="331"/>
      <c r="DE103" s="1"/>
      <c r="DF103" s="1"/>
      <c r="DG103" s="1"/>
      <c r="DH103" s="1"/>
      <c r="DI103" s="1"/>
      <c r="DJ103" s="1"/>
      <c r="DK103" s="1"/>
      <c r="DL103" s="1"/>
      <c r="DM103" s="1"/>
      <c r="DN103" s="1"/>
      <c r="DO103" s="1"/>
      <c r="DP103" s="1"/>
      <c r="DQ103" s="1"/>
    </row>
    <row r="104" spans="1:121" x14ac:dyDescent="0.2">
      <c r="A104" s="830"/>
      <c r="B104" s="832"/>
      <c r="C104" s="830"/>
      <c r="D104" s="103" t="s">
        <v>1550</v>
      </c>
      <c r="E104" s="443"/>
      <c r="F104" s="331"/>
      <c r="G104" s="331" t="s">
        <v>49</v>
      </c>
      <c r="H104" s="383" t="s">
        <v>328</v>
      </c>
      <c r="I104" s="383" t="s">
        <v>316</v>
      </c>
      <c r="J104" s="402">
        <v>45109</v>
      </c>
      <c r="K104" s="402">
        <v>46205</v>
      </c>
      <c r="L104" s="457" t="s">
        <v>493</v>
      </c>
      <c r="M104" s="355"/>
      <c r="N104" s="355"/>
      <c r="O104" s="355"/>
      <c r="P104" s="458"/>
      <c r="Q104" s="355"/>
      <c r="R104" s="355"/>
      <c r="S104" s="355"/>
      <c r="T104" s="355"/>
      <c r="U104" s="355"/>
      <c r="V104" s="355"/>
      <c r="W104" s="355"/>
      <c r="X104" s="355"/>
      <c r="Y104" s="355"/>
      <c r="Z104" s="459">
        <f t="shared" si="53"/>
        <v>0</v>
      </c>
      <c r="AA104" s="451">
        <f t="shared" si="49"/>
        <v>0</v>
      </c>
      <c r="AB104" s="451">
        <f t="shared" si="50"/>
        <v>0</v>
      </c>
      <c r="AC104" s="450" t="e">
        <f t="shared" si="51"/>
        <v>#VALUE!</v>
      </c>
      <c r="AD104" s="450"/>
      <c r="AE104" s="450"/>
      <c r="AF104" s="450"/>
      <c r="AG104" s="450"/>
      <c r="AH104" s="331"/>
      <c r="AI104" s="334">
        <v>36</v>
      </c>
      <c r="AJ104" s="334" t="s">
        <v>1304</v>
      </c>
      <c r="AK104" s="334">
        <v>0</v>
      </c>
      <c r="AL104" s="334">
        <v>0</v>
      </c>
      <c r="AM104" s="334" t="s">
        <v>53</v>
      </c>
      <c r="AN104" s="334" t="s">
        <v>53</v>
      </c>
      <c r="AO104" s="334" t="s">
        <v>53</v>
      </c>
      <c r="AP104" s="334" t="s">
        <v>54</v>
      </c>
      <c r="AQ104" s="331"/>
      <c r="AR104" s="357"/>
      <c r="AS104" s="357"/>
      <c r="AT104" s="357"/>
      <c r="AU104" s="357"/>
      <c r="AV104" s="357"/>
      <c r="AW104" s="357"/>
      <c r="AX104" s="357"/>
      <c r="AY104" s="357"/>
      <c r="AZ104" s="357"/>
      <c r="BA104" s="357"/>
      <c r="BB104" s="357"/>
      <c r="BC104" s="357"/>
      <c r="BD104" s="358"/>
      <c r="BE104" s="357"/>
      <c r="BF104" s="357"/>
      <c r="BG104" s="357"/>
      <c r="BH104" s="357"/>
      <c r="BI104" s="357"/>
      <c r="BJ104" s="357"/>
      <c r="BK104" s="357"/>
      <c r="BL104" s="357"/>
      <c r="BM104" s="357"/>
      <c r="BN104" s="357"/>
      <c r="BO104" s="357"/>
      <c r="BP104" s="357"/>
      <c r="BQ104" s="390"/>
      <c r="BR104" s="357"/>
      <c r="BS104" s="357"/>
      <c r="BT104" s="357"/>
      <c r="BU104" s="357"/>
      <c r="BV104" s="357"/>
      <c r="BW104" s="357"/>
      <c r="BX104" s="357"/>
      <c r="BY104" s="357"/>
      <c r="BZ104" s="357"/>
      <c r="CA104" s="357"/>
      <c r="CB104" s="357"/>
      <c r="CC104" s="357"/>
      <c r="CD104" s="357"/>
      <c r="CE104" s="331"/>
      <c r="CF104" s="331"/>
      <c r="CG104" s="331"/>
      <c r="CH104" s="331"/>
      <c r="CI104" s="331"/>
      <c r="CJ104" s="331"/>
      <c r="CK104" s="331"/>
      <c r="CL104" s="331"/>
      <c r="CM104" s="331"/>
      <c r="CN104" s="331"/>
      <c r="CO104" s="331"/>
      <c r="CP104" s="331"/>
      <c r="CQ104" s="331"/>
      <c r="CR104" s="331"/>
      <c r="CS104" s="331"/>
      <c r="CT104" s="331"/>
      <c r="CU104" s="331"/>
      <c r="CV104" s="331"/>
      <c r="CW104" s="331"/>
      <c r="CX104" s="331"/>
      <c r="CY104" s="331"/>
      <c r="CZ104" s="331"/>
      <c r="DA104" s="331"/>
      <c r="DB104" s="331"/>
      <c r="DC104" s="331"/>
      <c r="DD104" s="331"/>
      <c r="DE104" s="1"/>
      <c r="DF104" s="1"/>
      <c r="DG104" s="1"/>
      <c r="DH104" s="1"/>
      <c r="DI104" s="1"/>
      <c r="DJ104" s="1"/>
      <c r="DK104" s="1"/>
      <c r="DL104" s="1"/>
      <c r="DM104" s="1"/>
      <c r="DN104" s="1"/>
      <c r="DO104" s="1"/>
      <c r="DP104" s="1"/>
      <c r="DQ104" s="1"/>
    </row>
    <row r="105" spans="1:121" x14ac:dyDescent="0.2">
      <c r="A105" s="830"/>
      <c r="B105" s="832"/>
      <c r="C105" s="830"/>
      <c r="D105" s="103" t="s">
        <v>1551</v>
      </c>
      <c r="E105" s="443"/>
      <c r="F105" s="331"/>
      <c r="G105" s="331" t="s">
        <v>49</v>
      </c>
      <c r="H105" s="383" t="s">
        <v>328</v>
      </c>
      <c r="I105" s="383" t="s">
        <v>316</v>
      </c>
      <c r="J105" s="402">
        <v>45109</v>
      </c>
      <c r="K105" s="402">
        <v>46205</v>
      </c>
      <c r="L105" s="457" t="s">
        <v>493</v>
      </c>
      <c r="M105" s="355"/>
      <c r="N105" s="355"/>
      <c r="O105" s="355"/>
      <c r="P105" s="458"/>
      <c r="Q105" s="355"/>
      <c r="R105" s="355"/>
      <c r="S105" s="355"/>
      <c r="T105" s="355"/>
      <c r="U105" s="355"/>
      <c r="V105" s="355"/>
      <c r="W105" s="355"/>
      <c r="X105" s="355"/>
      <c r="Y105" s="355"/>
      <c r="Z105" s="459">
        <f t="shared" si="53"/>
        <v>0</v>
      </c>
      <c r="AA105" s="451">
        <f t="shared" si="49"/>
        <v>0</v>
      </c>
      <c r="AB105" s="451">
        <f t="shared" si="50"/>
        <v>0</v>
      </c>
      <c r="AC105" s="450" t="e">
        <f t="shared" si="51"/>
        <v>#VALUE!</v>
      </c>
      <c r="AD105" s="450"/>
      <c r="AE105" s="450"/>
      <c r="AF105" s="450"/>
      <c r="AG105" s="450"/>
      <c r="AH105" s="331"/>
      <c r="AI105" s="334">
        <v>36</v>
      </c>
      <c r="AJ105" s="334" t="s">
        <v>1304</v>
      </c>
      <c r="AK105" s="334">
        <v>0</v>
      </c>
      <c r="AL105" s="334">
        <v>0</v>
      </c>
      <c r="AM105" s="334" t="s">
        <v>53</v>
      </c>
      <c r="AN105" s="334" t="s">
        <v>53</v>
      </c>
      <c r="AO105" s="334" t="s">
        <v>53</v>
      </c>
      <c r="AP105" s="334" t="s">
        <v>54</v>
      </c>
      <c r="AQ105" s="331"/>
      <c r="AR105" s="357"/>
      <c r="AS105" s="357"/>
      <c r="AT105" s="357"/>
      <c r="AU105" s="357"/>
      <c r="AV105" s="357"/>
      <c r="AW105" s="357"/>
      <c r="AX105" s="357"/>
      <c r="AY105" s="357"/>
      <c r="AZ105" s="357"/>
      <c r="BA105" s="357"/>
      <c r="BB105" s="357"/>
      <c r="BC105" s="357"/>
      <c r="BD105" s="358"/>
      <c r="BE105" s="357"/>
      <c r="BF105" s="357"/>
      <c r="BG105" s="357"/>
      <c r="BH105" s="357"/>
      <c r="BI105" s="357"/>
      <c r="BJ105" s="357"/>
      <c r="BK105" s="357"/>
      <c r="BL105" s="357"/>
      <c r="BM105" s="357"/>
      <c r="BN105" s="357"/>
      <c r="BO105" s="357"/>
      <c r="BP105" s="357"/>
      <c r="BQ105" s="390"/>
      <c r="BR105" s="357"/>
      <c r="BS105" s="357"/>
      <c r="BT105" s="357"/>
      <c r="BU105" s="357"/>
      <c r="BV105" s="357"/>
      <c r="BW105" s="357"/>
      <c r="BX105" s="357"/>
      <c r="BY105" s="357"/>
      <c r="BZ105" s="357"/>
      <c r="CA105" s="357"/>
      <c r="CB105" s="357"/>
      <c r="CC105" s="357"/>
      <c r="CD105" s="357"/>
      <c r="CE105" s="331"/>
      <c r="CF105" s="331"/>
      <c r="CG105" s="331"/>
      <c r="CH105" s="331"/>
      <c r="CI105" s="331"/>
      <c r="CJ105" s="331"/>
      <c r="CK105" s="331"/>
      <c r="CL105" s="331"/>
      <c r="CM105" s="331"/>
      <c r="CN105" s="331"/>
      <c r="CO105" s="331"/>
      <c r="CP105" s="331"/>
      <c r="CQ105" s="331"/>
      <c r="CR105" s="331"/>
      <c r="CS105" s="331"/>
      <c r="CT105" s="331"/>
      <c r="CU105" s="331"/>
      <c r="CV105" s="331"/>
      <c r="CW105" s="331"/>
      <c r="CX105" s="331"/>
      <c r="CY105" s="331"/>
      <c r="CZ105" s="331"/>
      <c r="DA105" s="331"/>
      <c r="DB105" s="331"/>
      <c r="DC105" s="331"/>
      <c r="DD105" s="331"/>
      <c r="DE105" s="1"/>
      <c r="DF105" s="1"/>
      <c r="DG105" s="1"/>
      <c r="DH105" s="1"/>
      <c r="DI105" s="1"/>
      <c r="DJ105" s="1"/>
      <c r="DK105" s="1"/>
      <c r="DL105" s="1"/>
      <c r="DM105" s="1"/>
      <c r="DN105" s="1"/>
      <c r="DO105" s="1"/>
      <c r="DP105" s="1"/>
      <c r="DQ105" s="1"/>
    </row>
    <row r="106" spans="1:121" x14ac:dyDescent="0.2">
      <c r="A106" s="830"/>
      <c r="B106" s="832"/>
      <c r="C106" s="830"/>
      <c r="D106" s="103" t="s">
        <v>1552</v>
      </c>
      <c r="E106" s="531"/>
      <c r="F106" s="331"/>
      <c r="G106" s="331" t="s">
        <v>49</v>
      </c>
      <c r="H106" s="383" t="s">
        <v>328</v>
      </c>
      <c r="I106" s="383" t="s">
        <v>316</v>
      </c>
      <c r="J106" s="402">
        <v>45109</v>
      </c>
      <c r="K106" s="402">
        <v>46205</v>
      </c>
      <c r="L106" s="457" t="s">
        <v>493</v>
      </c>
      <c r="M106" s="355"/>
      <c r="N106" s="355"/>
      <c r="O106" s="355"/>
      <c r="P106" s="458"/>
      <c r="Q106" s="355"/>
      <c r="R106" s="355"/>
      <c r="S106" s="355"/>
      <c r="T106" s="355"/>
      <c r="U106" s="355"/>
      <c r="V106" s="355"/>
      <c r="W106" s="355"/>
      <c r="X106" s="355"/>
      <c r="Y106" s="355"/>
      <c r="Z106" s="459">
        <f t="shared" si="53"/>
        <v>0</v>
      </c>
      <c r="AA106" s="451">
        <f t="shared" si="49"/>
        <v>0</v>
      </c>
      <c r="AB106" s="451">
        <f t="shared" si="50"/>
        <v>0</v>
      </c>
      <c r="AC106" s="450" t="e">
        <f t="shared" si="51"/>
        <v>#VALUE!</v>
      </c>
      <c r="AD106" s="450"/>
      <c r="AE106" s="450"/>
      <c r="AF106" s="450"/>
      <c r="AG106" s="450"/>
      <c r="AH106" s="331"/>
      <c r="AI106" s="334">
        <v>36</v>
      </c>
      <c r="AJ106" s="334" t="s">
        <v>1304</v>
      </c>
      <c r="AK106" s="334">
        <v>0</v>
      </c>
      <c r="AL106" s="334">
        <v>0</v>
      </c>
      <c r="AM106" s="334" t="s">
        <v>53</v>
      </c>
      <c r="AN106" s="334" t="s">
        <v>53</v>
      </c>
      <c r="AO106" s="334" t="s">
        <v>53</v>
      </c>
      <c r="AP106" s="334" t="s">
        <v>54</v>
      </c>
      <c r="AQ106" s="331"/>
      <c r="AR106" s="357"/>
      <c r="AS106" s="357"/>
      <c r="AT106" s="357"/>
      <c r="AU106" s="357"/>
      <c r="AV106" s="357"/>
      <c r="AW106" s="357"/>
      <c r="AX106" s="357"/>
      <c r="AY106" s="357"/>
      <c r="AZ106" s="357"/>
      <c r="BA106" s="357"/>
      <c r="BB106" s="357"/>
      <c r="BC106" s="357"/>
      <c r="BD106" s="358"/>
      <c r="BE106" s="357"/>
      <c r="BF106" s="357"/>
      <c r="BG106" s="357"/>
      <c r="BH106" s="357"/>
      <c r="BI106" s="357"/>
      <c r="BJ106" s="357"/>
      <c r="BK106" s="357"/>
      <c r="BL106" s="357"/>
      <c r="BM106" s="357"/>
      <c r="BN106" s="357"/>
      <c r="BO106" s="357"/>
      <c r="BP106" s="357"/>
      <c r="BQ106" s="390"/>
      <c r="BR106" s="357"/>
      <c r="BS106" s="357"/>
      <c r="BT106" s="357"/>
      <c r="BU106" s="357"/>
      <c r="BV106" s="357"/>
      <c r="BW106" s="357"/>
      <c r="BX106" s="357"/>
      <c r="BY106" s="357"/>
      <c r="BZ106" s="357"/>
      <c r="CA106" s="357"/>
      <c r="CB106" s="357"/>
      <c r="CC106" s="357"/>
      <c r="CD106" s="357"/>
      <c r="CE106" s="331"/>
      <c r="CF106" s="331"/>
      <c r="CG106" s="331"/>
      <c r="CH106" s="331"/>
      <c r="CI106" s="331"/>
      <c r="CJ106" s="331"/>
      <c r="CK106" s="331"/>
      <c r="CL106" s="331"/>
      <c r="CM106" s="331"/>
      <c r="CN106" s="331"/>
      <c r="CO106" s="331"/>
      <c r="CP106" s="331"/>
      <c r="CQ106" s="331"/>
      <c r="CR106" s="331"/>
      <c r="CS106" s="331"/>
      <c r="CT106" s="331"/>
      <c r="CU106" s="331"/>
      <c r="CV106" s="331"/>
      <c r="CW106" s="331"/>
      <c r="CX106" s="331"/>
      <c r="CY106" s="331"/>
      <c r="CZ106" s="331"/>
      <c r="DA106" s="331"/>
      <c r="DB106" s="331"/>
      <c r="DC106" s="331"/>
      <c r="DD106" s="331"/>
      <c r="DE106" s="1"/>
      <c r="DF106" s="1"/>
      <c r="DG106" s="1"/>
      <c r="DH106" s="1"/>
      <c r="DI106" s="1"/>
      <c r="DJ106" s="1"/>
      <c r="DK106" s="1"/>
      <c r="DL106" s="1"/>
      <c r="DM106" s="1"/>
      <c r="DN106" s="1"/>
      <c r="DO106" s="1"/>
      <c r="DP106" s="1"/>
      <c r="DQ106" s="1"/>
    </row>
    <row r="107" spans="1:121" x14ac:dyDescent="0.2">
      <c r="A107" s="830"/>
      <c r="B107" s="832"/>
      <c r="C107" s="830"/>
      <c r="D107" s="103" t="s">
        <v>1553</v>
      </c>
      <c r="E107" s="443"/>
      <c r="F107" s="331"/>
      <c r="G107" s="331" t="s">
        <v>49</v>
      </c>
      <c r="H107" s="383" t="s">
        <v>328</v>
      </c>
      <c r="I107" s="383" t="s">
        <v>316</v>
      </c>
      <c r="J107" s="402">
        <v>45109</v>
      </c>
      <c r="K107" s="402">
        <v>46205</v>
      </c>
      <c r="L107" s="457" t="s">
        <v>493</v>
      </c>
      <c r="M107" s="355"/>
      <c r="N107" s="355"/>
      <c r="O107" s="355"/>
      <c r="P107" s="458"/>
      <c r="Q107" s="355"/>
      <c r="R107" s="355"/>
      <c r="S107" s="355"/>
      <c r="T107" s="355"/>
      <c r="U107" s="355"/>
      <c r="V107" s="355"/>
      <c r="W107" s="355"/>
      <c r="X107" s="355"/>
      <c r="Y107" s="355"/>
      <c r="Z107" s="459">
        <f t="shared" si="53"/>
        <v>0</v>
      </c>
      <c r="AA107" s="451">
        <f t="shared" si="49"/>
        <v>0</v>
      </c>
      <c r="AB107" s="451">
        <f t="shared" si="50"/>
        <v>0</v>
      </c>
      <c r="AC107" s="450" t="e">
        <f t="shared" si="51"/>
        <v>#VALUE!</v>
      </c>
      <c r="AD107" s="450"/>
      <c r="AE107" s="450"/>
      <c r="AF107" s="450"/>
      <c r="AG107" s="450"/>
      <c r="AH107" s="331"/>
      <c r="AI107" s="334">
        <v>36</v>
      </c>
      <c r="AJ107" s="334" t="s">
        <v>1304</v>
      </c>
      <c r="AK107" s="334">
        <v>0</v>
      </c>
      <c r="AL107" s="334">
        <v>0</v>
      </c>
      <c r="AM107" s="334" t="s">
        <v>53</v>
      </c>
      <c r="AN107" s="334" t="s">
        <v>53</v>
      </c>
      <c r="AO107" s="334" t="s">
        <v>53</v>
      </c>
      <c r="AP107" s="334" t="s">
        <v>54</v>
      </c>
      <c r="AQ107" s="331"/>
      <c r="AR107" s="357"/>
      <c r="AS107" s="357"/>
      <c r="AT107" s="357"/>
      <c r="AU107" s="357"/>
      <c r="AV107" s="357"/>
      <c r="AW107" s="357"/>
      <c r="AX107" s="357"/>
      <c r="AY107" s="357"/>
      <c r="AZ107" s="357"/>
      <c r="BA107" s="357"/>
      <c r="BB107" s="357"/>
      <c r="BC107" s="357"/>
      <c r="BD107" s="358"/>
      <c r="BE107" s="357"/>
      <c r="BF107" s="357"/>
      <c r="BG107" s="357"/>
      <c r="BH107" s="357"/>
      <c r="BI107" s="357"/>
      <c r="BJ107" s="357"/>
      <c r="BK107" s="357"/>
      <c r="BL107" s="357"/>
      <c r="BM107" s="357"/>
      <c r="BN107" s="357"/>
      <c r="BO107" s="357"/>
      <c r="BP107" s="357"/>
      <c r="BQ107" s="390"/>
      <c r="BR107" s="357"/>
      <c r="BS107" s="357"/>
      <c r="BT107" s="357"/>
      <c r="BU107" s="357"/>
      <c r="BV107" s="357"/>
      <c r="BW107" s="357"/>
      <c r="BX107" s="357"/>
      <c r="BY107" s="357"/>
      <c r="BZ107" s="357"/>
      <c r="CA107" s="357"/>
      <c r="CB107" s="357"/>
      <c r="CC107" s="357"/>
      <c r="CD107" s="357"/>
      <c r="CE107" s="331"/>
      <c r="CF107" s="331"/>
      <c r="CG107" s="331"/>
      <c r="CH107" s="331"/>
      <c r="CI107" s="331"/>
      <c r="CJ107" s="331"/>
      <c r="CK107" s="331"/>
      <c r="CL107" s="331"/>
      <c r="CM107" s="331"/>
      <c r="CN107" s="331"/>
      <c r="CO107" s="331"/>
      <c r="CP107" s="331"/>
      <c r="CQ107" s="331"/>
      <c r="CR107" s="331"/>
      <c r="CS107" s="331"/>
      <c r="CT107" s="331"/>
      <c r="CU107" s="331"/>
      <c r="CV107" s="331"/>
      <c r="CW107" s="331"/>
      <c r="CX107" s="331"/>
      <c r="CY107" s="331"/>
      <c r="CZ107" s="331"/>
      <c r="DA107" s="331"/>
      <c r="DB107" s="331"/>
      <c r="DC107" s="331"/>
      <c r="DD107" s="331"/>
      <c r="DE107" s="1"/>
      <c r="DF107" s="1"/>
      <c r="DG107" s="1"/>
      <c r="DH107" s="1"/>
      <c r="DI107" s="1"/>
      <c r="DJ107" s="1"/>
      <c r="DK107" s="1"/>
      <c r="DL107" s="1"/>
      <c r="DM107" s="1"/>
      <c r="DN107" s="1"/>
      <c r="DO107" s="1"/>
      <c r="DP107" s="1"/>
      <c r="DQ107" s="1"/>
    </row>
    <row r="108" spans="1:121" x14ac:dyDescent="0.2">
      <c r="A108" s="830"/>
      <c r="B108" s="832"/>
      <c r="C108" s="830"/>
      <c r="D108" s="103" t="s">
        <v>1554</v>
      </c>
      <c r="E108" s="531"/>
      <c r="F108" s="331"/>
      <c r="G108" s="331" t="s">
        <v>49</v>
      </c>
      <c r="H108" s="383" t="s">
        <v>328</v>
      </c>
      <c r="I108" s="383" t="s">
        <v>316</v>
      </c>
      <c r="J108" s="402">
        <v>45109</v>
      </c>
      <c r="K108" s="402">
        <v>46205</v>
      </c>
      <c r="L108" s="457" t="s">
        <v>493</v>
      </c>
      <c r="M108" s="355"/>
      <c r="N108" s="355"/>
      <c r="O108" s="355"/>
      <c r="P108" s="458"/>
      <c r="Q108" s="355"/>
      <c r="R108" s="355"/>
      <c r="S108" s="355"/>
      <c r="T108" s="355"/>
      <c r="U108" s="355"/>
      <c r="V108" s="355"/>
      <c r="W108" s="355"/>
      <c r="X108" s="355"/>
      <c r="Y108" s="355"/>
      <c r="Z108" s="459">
        <f t="shared" si="53"/>
        <v>0</v>
      </c>
      <c r="AA108" s="451">
        <f t="shared" si="49"/>
        <v>0</v>
      </c>
      <c r="AB108" s="451">
        <f t="shared" si="50"/>
        <v>0</v>
      </c>
      <c r="AC108" s="450" t="e">
        <f t="shared" si="51"/>
        <v>#VALUE!</v>
      </c>
      <c r="AD108" s="450"/>
      <c r="AE108" s="450"/>
      <c r="AF108" s="450"/>
      <c r="AG108" s="450"/>
      <c r="AH108" s="331"/>
      <c r="AI108" s="334">
        <v>36</v>
      </c>
      <c r="AJ108" s="334" t="s">
        <v>1304</v>
      </c>
      <c r="AK108" s="334">
        <v>0</v>
      </c>
      <c r="AL108" s="334">
        <v>0</v>
      </c>
      <c r="AM108" s="334" t="s">
        <v>53</v>
      </c>
      <c r="AN108" s="334" t="s">
        <v>53</v>
      </c>
      <c r="AO108" s="334" t="s">
        <v>53</v>
      </c>
      <c r="AP108" s="334" t="s">
        <v>54</v>
      </c>
      <c r="AQ108" s="331"/>
      <c r="AR108" s="357"/>
      <c r="AS108" s="357"/>
      <c r="AT108" s="357"/>
      <c r="AU108" s="357"/>
      <c r="AV108" s="357"/>
      <c r="AW108" s="357"/>
      <c r="AX108" s="357"/>
      <c r="AY108" s="357"/>
      <c r="AZ108" s="357"/>
      <c r="BA108" s="357"/>
      <c r="BB108" s="357"/>
      <c r="BC108" s="357"/>
      <c r="BD108" s="358"/>
      <c r="BE108" s="357"/>
      <c r="BF108" s="357"/>
      <c r="BG108" s="357"/>
      <c r="BH108" s="357"/>
      <c r="BI108" s="357"/>
      <c r="BJ108" s="357"/>
      <c r="BK108" s="357"/>
      <c r="BL108" s="357"/>
      <c r="BM108" s="357"/>
      <c r="BN108" s="357"/>
      <c r="BO108" s="357"/>
      <c r="BP108" s="357"/>
      <c r="BQ108" s="390"/>
      <c r="BR108" s="357"/>
      <c r="BS108" s="357"/>
      <c r="BT108" s="357"/>
      <c r="BU108" s="357"/>
      <c r="BV108" s="357"/>
      <c r="BW108" s="357"/>
      <c r="BX108" s="357"/>
      <c r="BY108" s="357"/>
      <c r="BZ108" s="357"/>
      <c r="CA108" s="357"/>
      <c r="CB108" s="357"/>
      <c r="CC108" s="357"/>
      <c r="CD108" s="357"/>
      <c r="CE108" s="331"/>
      <c r="CF108" s="331"/>
      <c r="CG108" s="331"/>
      <c r="CH108" s="331"/>
      <c r="CI108" s="331"/>
      <c r="CJ108" s="331"/>
      <c r="CK108" s="331"/>
      <c r="CL108" s="331"/>
      <c r="CM108" s="331"/>
      <c r="CN108" s="331"/>
      <c r="CO108" s="331"/>
      <c r="CP108" s="331"/>
      <c r="CQ108" s="331"/>
      <c r="CR108" s="331"/>
      <c r="CS108" s="331"/>
      <c r="CT108" s="331"/>
      <c r="CU108" s="331"/>
      <c r="CV108" s="331"/>
      <c r="CW108" s="331"/>
      <c r="CX108" s="331"/>
      <c r="CY108" s="331"/>
      <c r="CZ108" s="331"/>
      <c r="DA108" s="331"/>
      <c r="DB108" s="331"/>
      <c r="DC108" s="331"/>
      <c r="DD108" s="331"/>
      <c r="DE108" s="1"/>
      <c r="DF108" s="1"/>
      <c r="DG108" s="1"/>
      <c r="DH108" s="1"/>
      <c r="DI108" s="1"/>
      <c r="DJ108" s="1"/>
      <c r="DK108" s="1"/>
      <c r="DL108" s="1"/>
      <c r="DM108" s="1"/>
      <c r="DN108" s="1"/>
      <c r="DO108" s="1"/>
      <c r="DP108" s="1"/>
      <c r="DQ108" s="1"/>
    </row>
    <row r="109" spans="1:121" x14ac:dyDescent="0.2">
      <c r="A109" s="830"/>
      <c r="B109" s="832"/>
      <c r="C109" s="830"/>
      <c r="D109" s="103" t="s">
        <v>1555</v>
      </c>
      <c r="E109" s="443"/>
      <c r="F109" s="331"/>
      <c r="G109" s="331" t="s">
        <v>49</v>
      </c>
      <c r="H109" s="383" t="s">
        <v>328</v>
      </c>
      <c r="I109" s="383" t="s">
        <v>316</v>
      </c>
      <c r="J109" s="402">
        <v>45109</v>
      </c>
      <c r="K109" s="402">
        <v>46205</v>
      </c>
      <c r="L109" s="457" t="s">
        <v>493</v>
      </c>
      <c r="M109" s="355"/>
      <c r="N109" s="355"/>
      <c r="O109" s="355"/>
      <c r="P109" s="458"/>
      <c r="Q109" s="355"/>
      <c r="R109" s="355"/>
      <c r="S109" s="355"/>
      <c r="T109" s="355"/>
      <c r="U109" s="355"/>
      <c r="V109" s="355"/>
      <c r="W109" s="355"/>
      <c r="X109" s="355"/>
      <c r="Y109" s="355"/>
      <c r="Z109" s="459">
        <f t="shared" si="53"/>
        <v>0</v>
      </c>
      <c r="AA109" s="451">
        <f t="shared" si="49"/>
        <v>0</v>
      </c>
      <c r="AB109" s="451">
        <f t="shared" si="50"/>
        <v>0</v>
      </c>
      <c r="AC109" s="450" t="e">
        <f t="shared" si="51"/>
        <v>#VALUE!</v>
      </c>
      <c r="AD109" s="450"/>
      <c r="AE109" s="450"/>
      <c r="AF109" s="450"/>
      <c r="AG109" s="450"/>
      <c r="AH109" s="331"/>
      <c r="AI109" s="334">
        <v>36</v>
      </c>
      <c r="AJ109" s="334" t="s">
        <v>1304</v>
      </c>
      <c r="AK109" s="334">
        <v>0</v>
      </c>
      <c r="AL109" s="334">
        <v>0</v>
      </c>
      <c r="AM109" s="334" t="s">
        <v>53</v>
      </c>
      <c r="AN109" s="334" t="s">
        <v>53</v>
      </c>
      <c r="AO109" s="334" t="s">
        <v>53</v>
      </c>
      <c r="AP109" s="334" t="s">
        <v>54</v>
      </c>
      <c r="AQ109" s="331"/>
      <c r="AR109" s="357"/>
      <c r="AS109" s="357"/>
      <c r="AT109" s="357"/>
      <c r="AU109" s="357"/>
      <c r="AV109" s="357"/>
      <c r="AW109" s="357"/>
      <c r="AX109" s="357"/>
      <c r="AY109" s="357"/>
      <c r="AZ109" s="357"/>
      <c r="BA109" s="357"/>
      <c r="BB109" s="357"/>
      <c r="BC109" s="357"/>
      <c r="BD109" s="358"/>
      <c r="BE109" s="357"/>
      <c r="BF109" s="357"/>
      <c r="BG109" s="357"/>
      <c r="BH109" s="357"/>
      <c r="BI109" s="357"/>
      <c r="BJ109" s="357"/>
      <c r="BK109" s="357"/>
      <c r="BL109" s="357"/>
      <c r="BM109" s="357"/>
      <c r="BN109" s="357"/>
      <c r="BO109" s="357"/>
      <c r="BP109" s="357"/>
      <c r="BQ109" s="390"/>
      <c r="BR109" s="357"/>
      <c r="BS109" s="357"/>
      <c r="BT109" s="357"/>
      <c r="BU109" s="357"/>
      <c r="BV109" s="357"/>
      <c r="BW109" s="357"/>
      <c r="BX109" s="357"/>
      <c r="BY109" s="357"/>
      <c r="BZ109" s="357"/>
      <c r="CA109" s="357"/>
      <c r="CB109" s="357"/>
      <c r="CC109" s="357"/>
      <c r="CD109" s="357"/>
      <c r="CE109" s="331"/>
      <c r="CF109" s="331"/>
      <c r="CG109" s="331"/>
      <c r="CH109" s="331"/>
      <c r="CI109" s="331"/>
      <c r="CJ109" s="331"/>
      <c r="CK109" s="331"/>
      <c r="CL109" s="331"/>
      <c r="CM109" s="331"/>
      <c r="CN109" s="331"/>
      <c r="CO109" s="331"/>
      <c r="CP109" s="331"/>
      <c r="CQ109" s="331"/>
      <c r="CR109" s="331"/>
      <c r="CS109" s="331"/>
      <c r="CT109" s="331"/>
      <c r="CU109" s="331"/>
      <c r="CV109" s="331"/>
      <c r="CW109" s="331"/>
      <c r="CX109" s="331"/>
      <c r="CY109" s="331"/>
      <c r="CZ109" s="331"/>
      <c r="DA109" s="331"/>
      <c r="DB109" s="331"/>
      <c r="DC109" s="331"/>
      <c r="DD109" s="331"/>
      <c r="DE109" s="1"/>
      <c r="DF109" s="1"/>
      <c r="DG109" s="1"/>
      <c r="DH109" s="1"/>
      <c r="DI109" s="1"/>
      <c r="DJ109" s="1"/>
      <c r="DK109" s="1"/>
      <c r="DL109" s="1"/>
      <c r="DM109" s="1"/>
      <c r="DN109" s="1"/>
      <c r="DO109" s="1"/>
      <c r="DP109" s="1"/>
      <c r="DQ109" s="1"/>
    </row>
    <row r="110" spans="1:121" x14ac:dyDescent="0.2">
      <c r="A110" s="830"/>
      <c r="B110" s="832"/>
      <c r="C110" s="830"/>
      <c r="D110" s="103" t="s">
        <v>1556</v>
      </c>
      <c r="E110" s="443"/>
      <c r="F110" s="331"/>
      <c r="G110" s="331" t="s">
        <v>49</v>
      </c>
      <c r="H110" s="383" t="s">
        <v>328</v>
      </c>
      <c r="I110" s="383" t="s">
        <v>316</v>
      </c>
      <c r="J110" s="402">
        <v>45109</v>
      </c>
      <c r="K110" s="402">
        <v>46205</v>
      </c>
      <c r="L110" s="457" t="s">
        <v>493</v>
      </c>
      <c r="M110" s="355"/>
      <c r="N110" s="355"/>
      <c r="O110" s="355"/>
      <c r="P110" s="458"/>
      <c r="Q110" s="355"/>
      <c r="R110" s="355"/>
      <c r="S110" s="355"/>
      <c r="T110" s="355"/>
      <c r="U110" s="355"/>
      <c r="V110" s="355"/>
      <c r="W110" s="355"/>
      <c r="X110" s="355"/>
      <c r="Y110" s="355"/>
      <c r="Z110" s="459">
        <f t="shared" si="53"/>
        <v>0</v>
      </c>
      <c r="AA110" s="451">
        <f t="shared" si="49"/>
        <v>0</v>
      </c>
      <c r="AB110" s="451">
        <f t="shared" si="50"/>
        <v>0</v>
      </c>
      <c r="AC110" s="450" t="e">
        <f t="shared" si="51"/>
        <v>#VALUE!</v>
      </c>
      <c r="AD110" s="450"/>
      <c r="AE110" s="450"/>
      <c r="AF110" s="450"/>
      <c r="AG110" s="450"/>
      <c r="AH110" s="331"/>
      <c r="AI110" s="334">
        <v>36</v>
      </c>
      <c r="AJ110" s="334" t="s">
        <v>1304</v>
      </c>
      <c r="AK110" s="334">
        <v>0</v>
      </c>
      <c r="AL110" s="334">
        <v>0</v>
      </c>
      <c r="AM110" s="334" t="s">
        <v>53</v>
      </c>
      <c r="AN110" s="334" t="s">
        <v>53</v>
      </c>
      <c r="AO110" s="334" t="s">
        <v>53</v>
      </c>
      <c r="AP110" s="334" t="s">
        <v>54</v>
      </c>
      <c r="AQ110" s="331"/>
      <c r="AR110" s="357"/>
      <c r="AS110" s="357"/>
      <c r="AT110" s="357"/>
      <c r="AU110" s="357"/>
      <c r="AV110" s="357"/>
      <c r="AW110" s="357"/>
      <c r="AX110" s="357"/>
      <c r="AY110" s="357"/>
      <c r="AZ110" s="357"/>
      <c r="BA110" s="357"/>
      <c r="BB110" s="357"/>
      <c r="BC110" s="357"/>
      <c r="BD110" s="358"/>
      <c r="BE110" s="357"/>
      <c r="BF110" s="357"/>
      <c r="BG110" s="357"/>
      <c r="BH110" s="357"/>
      <c r="BI110" s="357"/>
      <c r="BJ110" s="357"/>
      <c r="BK110" s="357"/>
      <c r="BL110" s="357"/>
      <c r="BM110" s="357"/>
      <c r="BN110" s="357"/>
      <c r="BO110" s="357"/>
      <c r="BP110" s="357"/>
      <c r="BQ110" s="390"/>
      <c r="BR110" s="357"/>
      <c r="BS110" s="357"/>
      <c r="BT110" s="357"/>
      <c r="BU110" s="357"/>
      <c r="BV110" s="357"/>
      <c r="BW110" s="357"/>
      <c r="BX110" s="357"/>
      <c r="BY110" s="357"/>
      <c r="BZ110" s="357"/>
      <c r="CA110" s="357"/>
      <c r="CB110" s="357"/>
      <c r="CC110" s="357"/>
      <c r="CD110" s="357"/>
      <c r="CE110" s="331"/>
      <c r="CF110" s="331"/>
      <c r="CG110" s="331"/>
      <c r="CH110" s="331"/>
      <c r="CI110" s="331"/>
      <c r="CJ110" s="331"/>
      <c r="CK110" s="331"/>
      <c r="CL110" s="331"/>
      <c r="CM110" s="331"/>
      <c r="CN110" s="331"/>
      <c r="CO110" s="331"/>
      <c r="CP110" s="331"/>
      <c r="CQ110" s="331"/>
      <c r="CR110" s="331"/>
      <c r="CS110" s="331"/>
      <c r="CT110" s="331"/>
      <c r="CU110" s="331"/>
      <c r="CV110" s="331"/>
      <c r="CW110" s="331"/>
      <c r="CX110" s="331"/>
      <c r="CY110" s="331"/>
      <c r="CZ110" s="331"/>
      <c r="DA110" s="331"/>
      <c r="DB110" s="331"/>
      <c r="DC110" s="331"/>
      <c r="DD110" s="331"/>
      <c r="DE110" s="1"/>
      <c r="DF110" s="1"/>
      <c r="DG110" s="1"/>
      <c r="DH110" s="1"/>
      <c r="DI110" s="1"/>
      <c r="DJ110" s="1"/>
      <c r="DK110" s="1"/>
      <c r="DL110" s="1"/>
      <c r="DM110" s="1"/>
      <c r="DN110" s="1"/>
      <c r="DO110" s="1"/>
      <c r="DP110" s="1"/>
      <c r="DQ110" s="1"/>
    </row>
    <row r="111" spans="1:121" x14ac:dyDescent="0.2">
      <c r="A111" s="830"/>
      <c r="B111" s="832"/>
      <c r="C111" s="830"/>
      <c r="D111" s="103" t="s">
        <v>1557</v>
      </c>
      <c r="E111" s="531"/>
      <c r="F111" s="331"/>
      <c r="G111" s="331" t="s">
        <v>49</v>
      </c>
      <c r="H111" s="383" t="s">
        <v>328</v>
      </c>
      <c r="I111" s="383" t="s">
        <v>316</v>
      </c>
      <c r="J111" s="402">
        <v>45109</v>
      </c>
      <c r="K111" s="402">
        <v>46205</v>
      </c>
      <c r="L111" s="457" t="s">
        <v>493</v>
      </c>
      <c r="M111" s="355"/>
      <c r="N111" s="355"/>
      <c r="O111" s="355"/>
      <c r="P111" s="458"/>
      <c r="Q111" s="355"/>
      <c r="R111" s="355"/>
      <c r="S111" s="355"/>
      <c r="T111" s="355"/>
      <c r="U111" s="355"/>
      <c r="V111" s="355"/>
      <c r="W111" s="355"/>
      <c r="X111" s="355"/>
      <c r="Y111" s="355"/>
      <c r="Z111" s="459">
        <f t="shared" si="53"/>
        <v>0</v>
      </c>
      <c r="AA111" s="451">
        <f t="shared" si="49"/>
        <v>0</v>
      </c>
      <c r="AB111" s="451">
        <f t="shared" si="50"/>
        <v>0</v>
      </c>
      <c r="AC111" s="450" t="e">
        <f t="shared" si="51"/>
        <v>#VALUE!</v>
      </c>
      <c r="AD111" s="450"/>
      <c r="AE111" s="450"/>
      <c r="AF111" s="450"/>
      <c r="AG111" s="450"/>
      <c r="AH111" s="331"/>
      <c r="AI111" s="334">
        <v>36</v>
      </c>
      <c r="AJ111" s="334" t="s">
        <v>1304</v>
      </c>
      <c r="AK111" s="334">
        <v>0</v>
      </c>
      <c r="AL111" s="334">
        <v>0</v>
      </c>
      <c r="AM111" s="334" t="s">
        <v>53</v>
      </c>
      <c r="AN111" s="334" t="s">
        <v>53</v>
      </c>
      <c r="AO111" s="334" t="s">
        <v>53</v>
      </c>
      <c r="AP111" s="334" t="s">
        <v>54</v>
      </c>
      <c r="AQ111" s="331"/>
      <c r="AR111" s="357"/>
      <c r="AS111" s="357"/>
      <c r="AT111" s="357"/>
      <c r="AU111" s="357"/>
      <c r="AV111" s="357"/>
      <c r="AW111" s="357"/>
      <c r="AX111" s="357"/>
      <c r="AY111" s="357"/>
      <c r="AZ111" s="357"/>
      <c r="BA111" s="357"/>
      <c r="BB111" s="357"/>
      <c r="BC111" s="357"/>
      <c r="BD111" s="358"/>
      <c r="BE111" s="357"/>
      <c r="BF111" s="357"/>
      <c r="BG111" s="357"/>
      <c r="BH111" s="357"/>
      <c r="BI111" s="357"/>
      <c r="BJ111" s="357"/>
      <c r="BK111" s="357"/>
      <c r="BL111" s="357"/>
      <c r="BM111" s="357"/>
      <c r="BN111" s="357"/>
      <c r="BO111" s="357"/>
      <c r="BP111" s="357"/>
      <c r="BQ111" s="390"/>
      <c r="BR111" s="357"/>
      <c r="BS111" s="357"/>
      <c r="BT111" s="357"/>
      <c r="BU111" s="357"/>
      <c r="BV111" s="357"/>
      <c r="BW111" s="357"/>
      <c r="BX111" s="357"/>
      <c r="BY111" s="357"/>
      <c r="BZ111" s="357"/>
      <c r="CA111" s="357"/>
      <c r="CB111" s="357"/>
      <c r="CC111" s="357"/>
      <c r="CD111" s="357"/>
      <c r="CE111" s="331"/>
      <c r="CF111" s="331"/>
      <c r="CG111" s="331"/>
      <c r="CH111" s="331"/>
      <c r="CI111" s="331"/>
      <c r="CJ111" s="331"/>
      <c r="CK111" s="331"/>
      <c r="CL111" s="331"/>
      <c r="CM111" s="331"/>
      <c r="CN111" s="331"/>
      <c r="CO111" s="331"/>
      <c r="CP111" s="331"/>
      <c r="CQ111" s="331"/>
      <c r="CR111" s="331"/>
      <c r="CS111" s="331"/>
      <c r="CT111" s="331"/>
      <c r="CU111" s="331"/>
      <c r="CV111" s="331"/>
      <c r="CW111" s="331"/>
      <c r="CX111" s="331"/>
      <c r="CY111" s="331"/>
      <c r="CZ111" s="331"/>
      <c r="DA111" s="331"/>
      <c r="DB111" s="331"/>
      <c r="DC111" s="331"/>
      <c r="DD111" s="331"/>
      <c r="DE111" s="1"/>
      <c r="DF111" s="1"/>
      <c r="DG111" s="1"/>
      <c r="DH111" s="1"/>
      <c r="DI111" s="1"/>
      <c r="DJ111" s="1"/>
      <c r="DK111" s="1"/>
      <c r="DL111" s="1"/>
      <c r="DM111" s="1"/>
      <c r="DN111" s="1"/>
      <c r="DO111" s="1"/>
      <c r="DP111" s="1"/>
      <c r="DQ111" s="1"/>
    </row>
    <row r="112" spans="1:121" x14ac:dyDescent="0.2">
      <c r="A112" s="830"/>
      <c r="B112" s="832"/>
      <c r="C112" s="830"/>
      <c r="D112" s="103" t="s">
        <v>1558</v>
      </c>
      <c r="E112" s="443"/>
      <c r="F112" s="331"/>
      <c r="G112" s="331" t="s">
        <v>49</v>
      </c>
      <c r="H112" s="383" t="s">
        <v>328</v>
      </c>
      <c r="I112" s="383" t="s">
        <v>316</v>
      </c>
      <c r="J112" s="402">
        <v>45109</v>
      </c>
      <c r="K112" s="402">
        <v>46205</v>
      </c>
      <c r="L112" s="457" t="s">
        <v>493</v>
      </c>
      <c r="M112" s="355"/>
      <c r="N112" s="355"/>
      <c r="O112" s="355"/>
      <c r="P112" s="458"/>
      <c r="Q112" s="355"/>
      <c r="R112" s="355"/>
      <c r="S112" s="355"/>
      <c r="T112" s="355"/>
      <c r="U112" s="355"/>
      <c r="V112" s="355"/>
      <c r="W112" s="355"/>
      <c r="X112" s="355"/>
      <c r="Y112" s="355"/>
      <c r="Z112" s="459">
        <f t="shared" si="53"/>
        <v>0</v>
      </c>
      <c r="AA112" s="451">
        <f t="shared" si="49"/>
        <v>0</v>
      </c>
      <c r="AB112" s="451">
        <f t="shared" si="50"/>
        <v>0</v>
      </c>
      <c r="AC112" s="450" t="e">
        <f t="shared" si="51"/>
        <v>#VALUE!</v>
      </c>
      <c r="AD112" s="450"/>
      <c r="AE112" s="450"/>
      <c r="AF112" s="450"/>
      <c r="AG112" s="450"/>
      <c r="AH112" s="331"/>
      <c r="AI112" s="334">
        <v>36</v>
      </c>
      <c r="AJ112" s="334" t="s">
        <v>1304</v>
      </c>
      <c r="AK112" s="334">
        <v>0</v>
      </c>
      <c r="AL112" s="334">
        <v>0</v>
      </c>
      <c r="AM112" s="334" t="s">
        <v>53</v>
      </c>
      <c r="AN112" s="334" t="s">
        <v>53</v>
      </c>
      <c r="AO112" s="334" t="s">
        <v>53</v>
      </c>
      <c r="AP112" s="334" t="s">
        <v>54</v>
      </c>
      <c r="AQ112" s="331"/>
      <c r="AR112" s="357"/>
      <c r="AS112" s="357"/>
      <c r="AT112" s="357"/>
      <c r="AU112" s="357"/>
      <c r="AV112" s="357"/>
      <c r="AW112" s="357"/>
      <c r="AX112" s="357"/>
      <c r="AY112" s="357"/>
      <c r="AZ112" s="357"/>
      <c r="BA112" s="357"/>
      <c r="BB112" s="357"/>
      <c r="BC112" s="357"/>
      <c r="BD112" s="358"/>
      <c r="BE112" s="357"/>
      <c r="BF112" s="357"/>
      <c r="BG112" s="357"/>
      <c r="BH112" s="357"/>
      <c r="BI112" s="357"/>
      <c r="BJ112" s="357"/>
      <c r="BK112" s="357"/>
      <c r="BL112" s="357"/>
      <c r="BM112" s="357"/>
      <c r="BN112" s="357"/>
      <c r="BO112" s="357"/>
      <c r="BP112" s="357"/>
      <c r="BQ112" s="390"/>
      <c r="BR112" s="357"/>
      <c r="BS112" s="357"/>
      <c r="BT112" s="357"/>
      <c r="BU112" s="357"/>
      <c r="BV112" s="357"/>
      <c r="BW112" s="357"/>
      <c r="BX112" s="357"/>
      <c r="BY112" s="357"/>
      <c r="BZ112" s="357"/>
      <c r="CA112" s="357"/>
      <c r="CB112" s="357"/>
      <c r="CC112" s="357"/>
      <c r="CD112" s="357"/>
      <c r="CE112" s="331"/>
      <c r="CF112" s="331"/>
      <c r="CG112" s="331"/>
      <c r="CH112" s="331"/>
      <c r="CI112" s="331"/>
      <c r="CJ112" s="331"/>
      <c r="CK112" s="331"/>
      <c r="CL112" s="331"/>
      <c r="CM112" s="331"/>
      <c r="CN112" s="331"/>
      <c r="CO112" s="331"/>
      <c r="CP112" s="331"/>
      <c r="CQ112" s="331"/>
      <c r="CR112" s="331"/>
      <c r="CS112" s="331"/>
      <c r="CT112" s="331"/>
      <c r="CU112" s="331"/>
      <c r="CV112" s="331"/>
      <c r="CW112" s="331"/>
      <c r="CX112" s="331"/>
      <c r="CY112" s="331"/>
      <c r="CZ112" s="331"/>
      <c r="DA112" s="331"/>
      <c r="DB112" s="331"/>
      <c r="DC112" s="331"/>
      <c r="DD112" s="331"/>
      <c r="DE112" s="1"/>
      <c r="DF112" s="1"/>
      <c r="DG112" s="1"/>
      <c r="DH112" s="1"/>
      <c r="DI112" s="1"/>
      <c r="DJ112" s="1"/>
      <c r="DK112" s="1"/>
      <c r="DL112" s="1"/>
      <c r="DM112" s="1"/>
      <c r="DN112" s="1"/>
      <c r="DO112" s="1"/>
      <c r="DP112" s="1"/>
      <c r="DQ112" s="1"/>
    </row>
    <row r="113" spans="1:121" x14ac:dyDescent="0.2">
      <c r="A113" s="830"/>
      <c r="B113" s="832"/>
      <c r="C113" s="830"/>
      <c r="D113" s="103" t="s">
        <v>1559</v>
      </c>
      <c r="E113" s="531"/>
      <c r="F113" s="331"/>
      <c r="G113" s="331" t="s">
        <v>49</v>
      </c>
      <c r="H113" s="383" t="s">
        <v>328</v>
      </c>
      <c r="I113" s="383" t="s">
        <v>316</v>
      </c>
      <c r="J113" s="402">
        <v>45109</v>
      </c>
      <c r="K113" s="402">
        <v>46205</v>
      </c>
      <c r="L113" s="457" t="s">
        <v>493</v>
      </c>
      <c r="M113" s="355"/>
      <c r="N113" s="355"/>
      <c r="O113" s="355"/>
      <c r="P113" s="458"/>
      <c r="Q113" s="355"/>
      <c r="R113" s="355"/>
      <c r="S113" s="355"/>
      <c r="T113" s="355"/>
      <c r="U113" s="355"/>
      <c r="V113" s="355"/>
      <c r="W113" s="355"/>
      <c r="X113" s="355"/>
      <c r="Y113" s="355"/>
      <c r="Z113" s="459">
        <f t="shared" si="53"/>
        <v>0</v>
      </c>
      <c r="AA113" s="451">
        <f t="shared" si="49"/>
        <v>0</v>
      </c>
      <c r="AB113" s="451">
        <f t="shared" si="50"/>
        <v>0</v>
      </c>
      <c r="AC113" s="450" t="e">
        <f t="shared" si="51"/>
        <v>#VALUE!</v>
      </c>
      <c r="AD113" s="450"/>
      <c r="AE113" s="450"/>
      <c r="AF113" s="450"/>
      <c r="AG113" s="450"/>
      <c r="AH113" s="331"/>
      <c r="AI113" s="334">
        <v>36</v>
      </c>
      <c r="AJ113" s="334" t="s">
        <v>1304</v>
      </c>
      <c r="AK113" s="334">
        <v>0</v>
      </c>
      <c r="AL113" s="334">
        <v>0</v>
      </c>
      <c r="AM113" s="334" t="s">
        <v>53</v>
      </c>
      <c r="AN113" s="334" t="s">
        <v>53</v>
      </c>
      <c r="AO113" s="334" t="s">
        <v>53</v>
      </c>
      <c r="AP113" s="334" t="s">
        <v>54</v>
      </c>
      <c r="AQ113" s="331"/>
      <c r="AR113" s="357"/>
      <c r="AS113" s="357"/>
      <c r="AT113" s="357"/>
      <c r="AU113" s="357"/>
      <c r="AV113" s="357"/>
      <c r="AW113" s="357"/>
      <c r="AX113" s="357"/>
      <c r="AY113" s="357"/>
      <c r="AZ113" s="357"/>
      <c r="BA113" s="357"/>
      <c r="BB113" s="357"/>
      <c r="BC113" s="357"/>
      <c r="BD113" s="358"/>
      <c r="BE113" s="357"/>
      <c r="BF113" s="357"/>
      <c r="BG113" s="357"/>
      <c r="BH113" s="357"/>
      <c r="BI113" s="357"/>
      <c r="BJ113" s="357"/>
      <c r="BK113" s="357"/>
      <c r="BL113" s="357"/>
      <c r="BM113" s="357"/>
      <c r="BN113" s="357"/>
      <c r="BO113" s="357"/>
      <c r="BP113" s="357"/>
      <c r="BQ113" s="390"/>
      <c r="BR113" s="357"/>
      <c r="BS113" s="357"/>
      <c r="BT113" s="357"/>
      <c r="BU113" s="357"/>
      <c r="BV113" s="357"/>
      <c r="BW113" s="357"/>
      <c r="BX113" s="357"/>
      <c r="BY113" s="357"/>
      <c r="BZ113" s="357"/>
      <c r="CA113" s="357"/>
      <c r="CB113" s="357"/>
      <c r="CC113" s="357"/>
      <c r="CD113" s="357"/>
      <c r="CE113" s="331"/>
      <c r="CF113" s="331"/>
      <c r="CG113" s="331"/>
      <c r="CH113" s="331"/>
      <c r="CI113" s="331"/>
      <c r="CJ113" s="331"/>
      <c r="CK113" s="331"/>
      <c r="CL113" s="331"/>
      <c r="CM113" s="331"/>
      <c r="CN113" s="331"/>
      <c r="CO113" s="331"/>
      <c r="CP113" s="331"/>
      <c r="CQ113" s="331"/>
      <c r="CR113" s="331"/>
      <c r="CS113" s="331"/>
      <c r="CT113" s="331"/>
      <c r="CU113" s="331"/>
      <c r="CV113" s="331"/>
      <c r="CW113" s="331"/>
      <c r="CX113" s="331"/>
      <c r="CY113" s="331"/>
      <c r="CZ113" s="331"/>
      <c r="DA113" s="331"/>
      <c r="DB113" s="331"/>
      <c r="DC113" s="331"/>
      <c r="DD113" s="331"/>
      <c r="DE113" s="1"/>
      <c r="DF113" s="1"/>
      <c r="DG113" s="1"/>
      <c r="DH113" s="1"/>
      <c r="DI113" s="1"/>
      <c r="DJ113" s="1"/>
      <c r="DK113" s="1"/>
      <c r="DL113" s="1"/>
      <c r="DM113" s="1"/>
      <c r="DN113" s="1"/>
      <c r="DO113" s="1"/>
      <c r="DP113" s="1"/>
      <c r="DQ113" s="1"/>
    </row>
    <row r="114" spans="1:121" x14ac:dyDescent="0.2">
      <c r="A114" s="830"/>
      <c r="B114" s="832"/>
      <c r="C114" s="830"/>
      <c r="D114" s="103" t="s">
        <v>1560</v>
      </c>
      <c r="E114" s="443"/>
      <c r="F114" s="331"/>
      <c r="G114" s="331" t="s">
        <v>49</v>
      </c>
      <c r="H114" s="383" t="s">
        <v>328</v>
      </c>
      <c r="I114" s="383" t="s">
        <v>316</v>
      </c>
      <c r="J114" s="402">
        <v>45109</v>
      </c>
      <c r="K114" s="402">
        <v>46205</v>
      </c>
      <c r="L114" s="457" t="s">
        <v>493</v>
      </c>
      <c r="M114" s="355"/>
      <c r="N114" s="355"/>
      <c r="O114" s="355"/>
      <c r="P114" s="458"/>
      <c r="Q114" s="355"/>
      <c r="R114" s="355"/>
      <c r="S114" s="355"/>
      <c r="T114" s="355"/>
      <c r="U114" s="355"/>
      <c r="V114" s="355"/>
      <c r="W114" s="355"/>
      <c r="X114" s="355"/>
      <c r="Y114" s="355"/>
      <c r="Z114" s="459">
        <f t="shared" si="53"/>
        <v>0</v>
      </c>
      <c r="AA114" s="451">
        <f t="shared" si="49"/>
        <v>0</v>
      </c>
      <c r="AB114" s="451">
        <f t="shared" si="50"/>
        <v>0</v>
      </c>
      <c r="AC114" s="450" t="e">
        <f t="shared" si="51"/>
        <v>#VALUE!</v>
      </c>
      <c r="AD114" s="450"/>
      <c r="AE114" s="450"/>
      <c r="AF114" s="450"/>
      <c r="AG114" s="450"/>
      <c r="AH114" s="331"/>
      <c r="AI114" s="334">
        <v>36</v>
      </c>
      <c r="AJ114" s="334" t="s">
        <v>1304</v>
      </c>
      <c r="AK114" s="334">
        <v>0</v>
      </c>
      <c r="AL114" s="334">
        <v>0</v>
      </c>
      <c r="AM114" s="334" t="s">
        <v>53</v>
      </c>
      <c r="AN114" s="334" t="s">
        <v>53</v>
      </c>
      <c r="AO114" s="334" t="s">
        <v>53</v>
      </c>
      <c r="AP114" s="334" t="s">
        <v>54</v>
      </c>
      <c r="AQ114" s="331"/>
      <c r="AR114" s="357"/>
      <c r="AS114" s="357"/>
      <c r="AT114" s="357"/>
      <c r="AU114" s="357"/>
      <c r="AV114" s="357"/>
      <c r="AW114" s="357"/>
      <c r="AX114" s="357"/>
      <c r="AY114" s="357"/>
      <c r="AZ114" s="357"/>
      <c r="BA114" s="357"/>
      <c r="BB114" s="357"/>
      <c r="BC114" s="357"/>
      <c r="BD114" s="358"/>
      <c r="BE114" s="357"/>
      <c r="BF114" s="357"/>
      <c r="BG114" s="357"/>
      <c r="BH114" s="357"/>
      <c r="BI114" s="357"/>
      <c r="BJ114" s="357"/>
      <c r="BK114" s="357"/>
      <c r="BL114" s="357"/>
      <c r="BM114" s="357"/>
      <c r="BN114" s="357"/>
      <c r="BO114" s="357"/>
      <c r="BP114" s="357"/>
      <c r="BQ114" s="390"/>
      <c r="BR114" s="357"/>
      <c r="BS114" s="357"/>
      <c r="BT114" s="357"/>
      <c r="BU114" s="357"/>
      <c r="BV114" s="357"/>
      <c r="BW114" s="357"/>
      <c r="BX114" s="357"/>
      <c r="BY114" s="357"/>
      <c r="BZ114" s="357"/>
      <c r="CA114" s="357"/>
      <c r="CB114" s="357"/>
      <c r="CC114" s="357"/>
      <c r="CD114" s="357"/>
      <c r="CE114" s="331"/>
      <c r="CF114" s="331"/>
      <c r="CG114" s="331"/>
      <c r="CH114" s="331"/>
      <c r="CI114" s="331"/>
      <c r="CJ114" s="331"/>
      <c r="CK114" s="331"/>
      <c r="CL114" s="331"/>
      <c r="CM114" s="331"/>
      <c r="CN114" s="331"/>
      <c r="CO114" s="331"/>
      <c r="CP114" s="331"/>
      <c r="CQ114" s="331"/>
      <c r="CR114" s="331"/>
      <c r="CS114" s="331"/>
      <c r="CT114" s="331"/>
      <c r="CU114" s="331"/>
      <c r="CV114" s="331"/>
      <c r="CW114" s="331"/>
      <c r="CX114" s="331"/>
      <c r="CY114" s="331"/>
      <c r="CZ114" s="331"/>
      <c r="DA114" s="331"/>
      <c r="DB114" s="331"/>
      <c r="DC114" s="331"/>
      <c r="DD114" s="331"/>
      <c r="DE114" s="1"/>
      <c r="DF114" s="1"/>
      <c r="DG114" s="1"/>
      <c r="DH114" s="1"/>
      <c r="DI114" s="1"/>
      <c r="DJ114" s="1"/>
      <c r="DK114" s="1"/>
      <c r="DL114" s="1"/>
      <c r="DM114" s="1"/>
      <c r="DN114" s="1"/>
      <c r="DO114" s="1"/>
      <c r="DP114" s="1"/>
      <c r="DQ114" s="1"/>
    </row>
    <row r="115" spans="1:121" x14ac:dyDescent="0.2">
      <c r="A115" s="830"/>
      <c r="B115" s="832"/>
      <c r="C115" s="830"/>
      <c r="D115" s="103" t="s">
        <v>1561</v>
      </c>
      <c r="E115" s="531"/>
      <c r="F115" s="331"/>
      <c r="G115" s="331" t="s">
        <v>49</v>
      </c>
      <c r="H115" s="383" t="s">
        <v>328</v>
      </c>
      <c r="I115" s="383" t="s">
        <v>316</v>
      </c>
      <c r="J115" s="402">
        <v>45109</v>
      </c>
      <c r="K115" s="402">
        <v>46205</v>
      </c>
      <c r="L115" s="457" t="s">
        <v>493</v>
      </c>
      <c r="M115" s="355"/>
      <c r="N115" s="355"/>
      <c r="O115" s="355"/>
      <c r="P115" s="458"/>
      <c r="Q115" s="355"/>
      <c r="R115" s="355"/>
      <c r="S115" s="355"/>
      <c r="T115" s="355"/>
      <c r="U115" s="355"/>
      <c r="V115" s="355"/>
      <c r="W115" s="355"/>
      <c r="X115" s="355"/>
      <c r="Y115" s="355"/>
      <c r="Z115" s="459">
        <f t="shared" si="53"/>
        <v>0</v>
      </c>
      <c r="AA115" s="451">
        <f t="shared" si="49"/>
        <v>0</v>
      </c>
      <c r="AB115" s="451">
        <f t="shared" si="50"/>
        <v>0</v>
      </c>
      <c r="AC115" s="450" t="e">
        <f t="shared" si="51"/>
        <v>#VALUE!</v>
      </c>
      <c r="AD115" s="450"/>
      <c r="AE115" s="450"/>
      <c r="AF115" s="450"/>
      <c r="AG115" s="450"/>
      <c r="AH115" s="331"/>
      <c r="AI115" s="334">
        <v>36</v>
      </c>
      <c r="AJ115" s="334" t="s">
        <v>1304</v>
      </c>
      <c r="AK115" s="334">
        <v>0</v>
      </c>
      <c r="AL115" s="334">
        <v>0</v>
      </c>
      <c r="AM115" s="334" t="s">
        <v>53</v>
      </c>
      <c r="AN115" s="334" t="s">
        <v>53</v>
      </c>
      <c r="AO115" s="334" t="s">
        <v>53</v>
      </c>
      <c r="AP115" s="334" t="s">
        <v>54</v>
      </c>
      <c r="AQ115" s="331"/>
      <c r="AR115" s="357"/>
      <c r="AS115" s="357"/>
      <c r="AT115" s="357"/>
      <c r="AU115" s="357"/>
      <c r="AV115" s="357"/>
      <c r="AW115" s="357"/>
      <c r="AX115" s="357"/>
      <c r="AY115" s="357"/>
      <c r="AZ115" s="357"/>
      <c r="BA115" s="357"/>
      <c r="BB115" s="357"/>
      <c r="BC115" s="357"/>
      <c r="BD115" s="358"/>
      <c r="BE115" s="357"/>
      <c r="BF115" s="357"/>
      <c r="BG115" s="357"/>
      <c r="BH115" s="357"/>
      <c r="BI115" s="357"/>
      <c r="BJ115" s="357"/>
      <c r="BK115" s="357"/>
      <c r="BL115" s="357"/>
      <c r="BM115" s="357"/>
      <c r="BN115" s="357"/>
      <c r="BO115" s="357"/>
      <c r="BP115" s="357"/>
      <c r="BQ115" s="390"/>
      <c r="BR115" s="357"/>
      <c r="BS115" s="357"/>
      <c r="BT115" s="357"/>
      <c r="BU115" s="357"/>
      <c r="BV115" s="357"/>
      <c r="BW115" s="357"/>
      <c r="BX115" s="357"/>
      <c r="BY115" s="357"/>
      <c r="BZ115" s="357"/>
      <c r="CA115" s="357"/>
      <c r="CB115" s="357"/>
      <c r="CC115" s="357"/>
      <c r="CD115" s="357"/>
      <c r="CE115" s="331"/>
      <c r="CF115" s="331"/>
      <c r="CG115" s="331"/>
      <c r="CH115" s="331"/>
      <c r="CI115" s="331"/>
      <c r="CJ115" s="331"/>
      <c r="CK115" s="331"/>
      <c r="CL115" s="331"/>
      <c r="CM115" s="331"/>
      <c r="CN115" s="331"/>
      <c r="CO115" s="331"/>
      <c r="CP115" s="331"/>
      <c r="CQ115" s="331"/>
      <c r="CR115" s="331"/>
      <c r="CS115" s="331"/>
      <c r="CT115" s="331"/>
      <c r="CU115" s="331"/>
      <c r="CV115" s="331"/>
      <c r="CW115" s="331"/>
      <c r="CX115" s="331"/>
      <c r="CY115" s="331"/>
      <c r="CZ115" s="331"/>
      <c r="DA115" s="331"/>
      <c r="DB115" s="331"/>
      <c r="DC115" s="331"/>
      <c r="DD115" s="331"/>
      <c r="DE115" s="1"/>
      <c r="DF115" s="1"/>
      <c r="DG115" s="1"/>
      <c r="DH115" s="1"/>
      <c r="DI115" s="1"/>
      <c r="DJ115" s="1"/>
      <c r="DK115" s="1"/>
      <c r="DL115" s="1"/>
      <c r="DM115" s="1"/>
      <c r="DN115" s="1"/>
      <c r="DO115" s="1"/>
      <c r="DP115" s="1"/>
      <c r="DQ115" s="1"/>
    </row>
    <row r="116" spans="1:121" x14ac:dyDescent="0.2">
      <c r="A116" s="830"/>
      <c r="B116" s="832"/>
      <c r="C116" s="830"/>
      <c r="D116" s="103" t="s">
        <v>1562</v>
      </c>
      <c r="E116" s="443"/>
      <c r="F116" s="331"/>
      <c r="G116" s="331" t="s">
        <v>49</v>
      </c>
      <c r="H116" s="383" t="s">
        <v>328</v>
      </c>
      <c r="I116" s="383" t="s">
        <v>316</v>
      </c>
      <c r="J116" s="402">
        <v>45109</v>
      </c>
      <c r="K116" s="402">
        <v>46205</v>
      </c>
      <c r="L116" s="457" t="s">
        <v>493</v>
      </c>
      <c r="M116" s="355"/>
      <c r="N116" s="355"/>
      <c r="O116" s="355"/>
      <c r="P116" s="458"/>
      <c r="Q116" s="355"/>
      <c r="R116" s="355"/>
      <c r="S116" s="355"/>
      <c r="T116" s="355"/>
      <c r="U116" s="355"/>
      <c r="V116" s="355"/>
      <c r="W116" s="355"/>
      <c r="X116" s="355"/>
      <c r="Y116" s="355"/>
      <c r="Z116" s="459">
        <f t="shared" si="53"/>
        <v>0</v>
      </c>
      <c r="AA116" s="451">
        <f t="shared" si="49"/>
        <v>0</v>
      </c>
      <c r="AB116" s="451">
        <f t="shared" si="50"/>
        <v>0</v>
      </c>
      <c r="AC116" s="450" t="e">
        <f t="shared" si="51"/>
        <v>#VALUE!</v>
      </c>
      <c r="AD116" s="450"/>
      <c r="AE116" s="450"/>
      <c r="AF116" s="450"/>
      <c r="AG116" s="450"/>
      <c r="AH116" s="331"/>
      <c r="AI116" s="334">
        <v>36</v>
      </c>
      <c r="AJ116" s="334" t="s">
        <v>1304</v>
      </c>
      <c r="AK116" s="334">
        <v>0</v>
      </c>
      <c r="AL116" s="334">
        <v>0</v>
      </c>
      <c r="AM116" s="334" t="s">
        <v>53</v>
      </c>
      <c r="AN116" s="334" t="s">
        <v>53</v>
      </c>
      <c r="AO116" s="334" t="s">
        <v>53</v>
      </c>
      <c r="AP116" s="334" t="s">
        <v>54</v>
      </c>
      <c r="AQ116" s="331"/>
      <c r="AR116" s="357"/>
      <c r="AS116" s="357"/>
      <c r="AT116" s="357"/>
      <c r="AU116" s="357"/>
      <c r="AV116" s="357"/>
      <c r="AW116" s="357"/>
      <c r="AX116" s="357"/>
      <c r="AY116" s="357"/>
      <c r="AZ116" s="357"/>
      <c r="BA116" s="357"/>
      <c r="BB116" s="357"/>
      <c r="BC116" s="357"/>
      <c r="BD116" s="358"/>
      <c r="BE116" s="357"/>
      <c r="BF116" s="357"/>
      <c r="BG116" s="357"/>
      <c r="BH116" s="357"/>
      <c r="BI116" s="357"/>
      <c r="BJ116" s="357"/>
      <c r="BK116" s="357"/>
      <c r="BL116" s="357"/>
      <c r="BM116" s="357"/>
      <c r="BN116" s="357"/>
      <c r="BO116" s="357"/>
      <c r="BP116" s="357"/>
      <c r="BQ116" s="390"/>
      <c r="BR116" s="357"/>
      <c r="BS116" s="357"/>
      <c r="BT116" s="357"/>
      <c r="BU116" s="357"/>
      <c r="BV116" s="357"/>
      <c r="BW116" s="357"/>
      <c r="BX116" s="357"/>
      <c r="BY116" s="357"/>
      <c r="BZ116" s="357"/>
      <c r="CA116" s="357"/>
      <c r="CB116" s="357"/>
      <c r="CC116" s="357"/>
      <c r="CD116" s="357"/>
      <c r="CE116" s="331"/>
      <c r="CF116" s="331"/>
      <c r="CG116" s="331"/>
      <c r="CH116" s="331"/>
      <c r="CI116" s="331"/>
      <c r="CJ116" s="331"/>
      <c r="CK116" s="331"/>
      <c r="CL116" s="331"/>
      <c r="CM116" s="331"/>
      <c r="CN116" s="331"/>
      <c r="CO116" s="331"/>
      <c r="CP116" s="331"/>
      <c r="CQ116" s="331"/>
      <c r="CR116" s="331"/>
      <c r="CS116" s="331"/>
      <c r="CT116" s="331"/>
      <c r="CU116" s="331"/>
      <c r="CV116" s="331"/>
      <c r="CW116" s="331"/>
      <c r="CX116" s="331"/>
      <c r="CY116" s="331"/>
      <c r="CZ116" s="331"/>
      <c r="DA116" s="331"/>
      <c r="DB116" s="331"/>
      <c r="DC116" s="331"/>
      <c r="DD116" s="331"/>
      <c r="DE116" s="1"/>
      <c r="DF116" s="1"/>
      <c r="DG116" s="1"/>
      <c r="DH116" s="1"/>
      <c r="DI116" s="1"/>
      <c r="DJ116" s="1"/>
      <c r="DK116" s="1"/>
      <c r="DL116" s="1"/>
      <c r="DM116" s="1"/>
      <c r="DN116" s="1"/>
      <c r="DO116" s="1"/>
      <c r="DP116" s="1"/>
      <c r="DQ116" s="1"/>
    </row>
    <row r="117" spans="1:121" x14ac:dyDescent="0.2">
      <c r="A117" s="830"/>
      <c r="B117" s="832"/>
      <c r="C117" s="830"/>
      <c r="D117" s="103" t="s">
        <v>1563</v>
      </c>
      <c r="E117" s="443"/>
      <c r="F117" s="331"/>
      <c r="G117" s="331" t="s">
        <v>49</v>
      </c>
      <c r="H117" s="383" t="s">
        <v>328</v>
      </c>
      <c r="I117" s="383" t="s">
        <v>316</v>
      </c>
      <c r="J117" s="402">
        <v>45109</v>
      </c>
      <c r="K117" s="402">
        <v>46205</v>
      </c>
      <c r="L117" s="457" t="s">
        <v>493</v>
      </c>
      <c r="M117" s="355"/>
      <c r="N117" s="355"/>
      <c r="O117" s="355"/>
      <c r="P117" s="458"/>
      <c r="Q117" s="355"/>
      <c r="R117" s="355"/>
      <c r="S117" s="355"/>
      <c r="T117" s="355"/>
      <c r="U117" s="355"/>
      <c r="V117" s="355"/>
      <c r="W117" s="355"/>
      <c r="X117" s="355"/>
      <c r="Y117" s="355"/>
      <c r="Z117" s="459">
        <f t="shared" si="53"/>
        <v>0</v>
      </c>
      <c r="AA117" s="451">
        <f t="shared" si="49"/>
        <v>0</v>
      </c>
      <c r="AB117" s="451">
        <f t="shared" si="50"/>
        <v>0</v>
      </c>
      <c r="AC117" s="450" t="e">
        <f t="shared" si="51"/>
        <v>#VALUE!</v>
      </c>
      <c r="AD117" s="450"/>
      <c r="AE117" s="450"/>
      <c r="AF117" s="450"/>
      <c r="AG117" s="450"/>
      <c r="AH117" s="331"/>
      <c r="AI117" s="334">
        <v>36</v>
      </c>
      <c r="AJ117" s="334" t="s">
        <v>1304</v>
      </c>
      <c r="AK117" s="334">
        <v>0</v>
      </c>
      <c r="AL117" s="334">
        <v>0</v>
      </c>
      <c r="AM117" s="334" t="s">
        <v>53</v>
      </c>
      <c r="AN117" s="334" t="s">
        <v>53</v>
      </c>
      <c r="AO117" s="334" t="s">
        <v>53</v>
      </c>
      <c r="AP117" s="334" t="s">
        <v>54</v>
      </c>
      <c r="AQ117" s="331"/>
      <c r="AR117" s="357"/>
      <c r="AS117" s="357"/>
      <c r="AT117" s="357"/>
      <c r="AU117" s="357"/>
      <c r="AV117" s="357"/>
      <c r="AW117" s="357"/>
      <c r="AX117" s="357"/>
      <c r="AY117" s="357"/>
      <c r="AZ117" s="357"/>
      <c r="BA117" s="357"/>
      <c r="BB117" s="357"/>
      <c r="BC117" s="357"/>
      <c r="BD117" s="358"/>
      <c r="BE117" s="357"/>
      <c r="BF117" s="357"/>
      <c r="BG117" s="357"/>
      <c r="BH117" s="357"/>
      <c r="BI117" s="357"/>
      <c r="BJ117" s="357"/>
      <c r="BK117" s="357"/>
      <c r="BL117" s="357"/>
      <c r="BM117" s="357"/>
      <c r="BN117" s="357"/>
      <c r="BO117" s="357"/>
      <c r="BP117" s="357"/>
      <c r="BQ117" s="390"/>
      <c r="BR117" s="357"/>
      <c r="BS117" s="357"/>
      <c r="BT117" s="357"/>
      <c r="BU117" s="357"/>
      <c r="BV117" s="357"/>
      <c r="BW117" s="357"/>
      <c r="BX117" s="357"/>
      <c r="BY117" s="357"/>
      <c r="BZ117" s="357"/>
      <c r="CA117" s="357"/>
      <c r="CB117" s="357"/>
      <c r="CC117" s="357"/>
      <c r="CD117" s="357"/>
      <c r="CE117" s="331"/>
      <c r="CF117" s="331"/>
      <c r="CG117" s="331"/>
      <c r="CH117" s="331"/>
      <c r="CI117" s="331"/>
      <c r="CJ117" s="331"/>
      <c r="CK117" s="331"/>
      <c r="CL117" s="331"/>
      <c r="CM117" s="331"/>
      <c r="CN117" s="331"/>
      <c r="CO117" s="331"/>
      <c r="CP117" s="331"/>
      <c r="CQ117" s="331"/>
      <c r="CR117" s="331"/>
      <c r="CS117" s="331"/>
      <c r="CT117" s="331"/>
      <c r="CU117" s="331"/>
      <c r="CV117" s="331"/>
      <c r="CW117" s="331"/>
      <c r="CX117" s="331"/>
      <c r="CY117" s="331"/>
      <c r="CZ117" s="331"/>
      <c r="DA117" s="331"/>
      <c r="DB117" s="331"/>
      <c r="DC117" s="331"/>
      <c r="DD117" s="331"/>
      <c r="DE117" s="1"/>
      <c r="DF117" s="1"/>
      <c r="DG117" s="1"/>
      <c r="DH117" s="1"/>
      <c r="DI117" s="1"/>
      <c r="DJ117" s="1"/>
      <c r="DK117" s="1"/>
      <c r="DL117" s="1"/>
      <c r="DM117" s="1"/>
      <c r="DN117" s="1"/>
      <c r="DO117" s="1"/>
      <c r="DP117" s="1"/>
      <c r="DQ117" s="1"/>
    </row>
    <row r="118" spans="1:121" x14ac:dyDescent="0.2">
      <c r="A118" s="830"/>
      <c r="B118" s="832"/>
      <c r="C118" s="830"/>
      <c r="D118" s="103" t="s">
        <v>1564</v>
      </c>
      <c r="E118" s="531"/>
      <c r="F118" s="331"/>
      <c r="G118" s="331" t="s">
        <v>49</v>
      </c>
      <c r="H118" s="383" t="s">
        <v>328</v>
      </c>
      <c r="I118" s="383" t="s">
        <v>316</v>
      </c>
      <c r="J118" s="402">
        <v>45109</v>
      </c>
      <c r="K118" s="402">
        <v>46205</v>
      </c>
      <c r="L118" s="457" t="s">
        <v>493</v>
      </c>
      <c r="M118" s="355"/>
      <c r="N118" s="355"/>
      <c r="O118" s="355"/>
      <c r="P118" s="458"/>
      <c r="Q118" s="355"/>
      <c r="R118" s="355"/>
      <c r="S118" s="355"/>
      <c r="T118" s="355"/>
      <c r="U118" s="355"/>
      <c r="V118" s="355"/>
      <c r="W118" s="355"/>
      <c r="X118" s="355"/>
      <c r="Y118" s="355"/>
      <c r="Z118" s="459">
        <f t="shared" si="53"/>
        <v>0</v>
      </c>
      <c r="AA118" s="451">
        <f t="shared" si="49"/>
        <v>0</v>
      </c>
      <c r="AB118" s="451">
        <f t="shared" si="50"/>
        <v>0</v>
      </c>
      <c r="AC118" s="450" t="e">
        <f t="shared" si="51"/>
        <v>#VALUE!</v>
      </c>
      <c r="AD118" s="450"/>
      <c r="AE118" s="450"/>
      <c r="AF118" s="450"/>
      <c r="AG118" s="450"/>
      <c r="AH118" s="331"/>
      <c r="AI118" s="334">
        <v>36</v>
      </c>
      <c r="AJ118" s="334" t="s">
        <v>1304</v>
      </c>
      <c r="AK118" s="334">
        <v>0</v>
      </c>
      <c r="AL118" s="334">
        <v>0</v>
      </c>
      <c r="AM118" s="334" t="s">
        <v>53</v>
      </c>
      <c r="AN118" s="334" t="s">
        <v>53</v>
      </c>
      <c r="AO118" s="334" t="s">
        <v>53</v>
      </c>
      <c r="AP118" s="334" t="s">
        <v>54</v>
      </c>
      <c r="AQ118" s="331"/>
      <c r="AR118" s="357"/>
      <c r="AS118" s="357"/>
      <c r="AT118" s="357"/>
      <c r="AU118" s="357"/>
      <c r="AV118" s="357"/>
      <c r="AW118" s="357"/>
      <c r="AX118" s="357"/>
      <c r="AY118" s="357"/>
      <c r="AZ118" s="357"/>
      <c r="BA118" s="357"/>
      <c r="BB118" s="357"/>
      <c r="BC118" s="357"/>
      <c r="BD118" s="358"/>
      <c r="BE118" s="357"/>
      <c r="BF118" s="357"/>
      <c r="BG118" s="357"/>
      <c r="BH118" s="357"/>
      <c r="BI118" s="357"/>
      <c r="BJ118" s="357"/>
      <c r="BK118" s="357"/>
      <c r="BL118" s="357"/>
      <c r="BM118" s="357"/>
      <c r="BN118" s="357"/>
      <c r="BO118" s="357"/>
      <c r="BP118" s="357"/>
      <c r="BQ118" s="390"/>
      <c r="BR118" s="357"/>
      <c r="BS118" s="357"/>
      <c r="BT118" s="357"/>
      <c r="BU118" s="357"/>
      <c r="BV118" s="357"/>
      <c r="BW118" s="357"/>
      <c r="BX118" s="357"/>
      <c r="BY118" s="357"/>
      <c r="BZ118" s="357"/>
      <c r="CA118" s="357"/>
      <c r="CB118" s="357"/>
      <c r="CC118" s="357"/>
      <c r="CD118" s="357"/>
      <c r="CE118" s="331"/>
      <c r="CF118" s="331"/>
      <c r="CG118" s="331"/>
      <c r="CH118" s="331"/>
      <c r="CI118" s="331"/>
      <c r="CJ118" s="331"/>
      <c r="CK118" s="331"/>
      <c r="CL118" s="331"/>
      <c r="CM118" s="331"/>
      <c r="CN118" s="331"/>
      <c r="CO118" s="331"/>
      <c r="CP118" s="331"/>
      <c r="CQ118" s="331"/>
      <c r="CR118" s="331"/>
      <c r="CS118" s="331"/>
      <c r="CT118" s="331"/>
      <c r="CU118" s="331"/>
      <c r="CV118" s="331"/>
      <c r="CW118" s="331"/>
      <c r="CX118" s="331"/>
      <c r="CY118" s="331"/>
      <c r="CZ118" s="331"/>
      <c r="DA118" s="331"/>
      <c r="DB118" s="331"/>
      <c r="DC118" s="331"/>
      <c r="DD118" s="331"/>
      <c r="DE118" s="1"/>
      <c r="DF118" s="1"/>
      <c r="DG118" s="1"/>
      <c r="DH118" s="1"/>
      <c r="DI118" s="1"/>
      <c r="DJ118" s="1"/>
      <c r="DK118" s="1"/>
      <c r="DL118" s="1"/>
      <c r="DM118" s="1"/>
      <c r="DN118" s="1"/>
      <c r="DO118" s="1"/>
      <c r="DP118" s="1"/>
      <c r="DQ118" s="1"/>
    </row>
    <row r="119" spans="1:121" x14ac:dyDescent="0.2">
      <c r="A119" s="830"/>
      <c r="B119" s="832"/>
      <c r="C119" s="830"/>
      <c r="D119" s="103" t="s">
        <v>1565</v>
      </c>
      <c r="E119" s="531"/>
      <c r="F119" s="331"/>
      <c r="G119" s="331" t="s">
        <v>49</v>
      </c>
      <c r="H119" s="383" t="s">
        <v>328</v>
      </c>
      <c r="I119" s="383" t="s">
        <v>316</v>
      </c>
      <c r="J119" s="402">
        <v>45109</v>
      </c>
      <c r="K119" s="402">
        <v>46205</v>
      </c>
      <c r="L119" s="457" t="s">
        <v>493</v>
      </c>
      <c r="M119" s="355"/>
      <c r="N119" s="355"/>
      <c r="O119" s="355"/>
      <c r="P119" s="458"/>
      <c r="Q119" s="355"/>
      <c r="R119" s="355"/>
      <c r="S119" s="355"/>
      <c r="T119" s="355"/>
      <c r="U119" s="355"/>
      <c r="V119" s="355"/>
      <c r="W119" s="355"/>
      <c r="X119" s="355"/>
      <c r="Y119" s="355"/>
      <c r="Z119" s="459">
        <f t="shared" si="53"/>
        <v>0</v>
      </c>
      <c r="AA119" s="451">
        <f t="shared" si="49"/>
        <v>0</v>
      </c>
      <c r="AB119" s="451">
        <f t="shared" si="50"/>
        <v>0</v>
      </c>
      <c r="AC119" s="450" t="e">
        <f t="shared" si="51"/>
        <v>#VALUE!</v>
      </c>
      <c r="AD119" s="450"/>
      <c r="AE119" s="450"/>
      <c r="AF119" s="450"/>
      <c r="AG119" s="450"/>
      <c r="AH119" s="331"/>
      <c r="AI119" s="334">
        <v>36</v>
      </c>
      <c r="AJ119" s="334" t="s">
        <v>1304</v>
      </c>
      <c r="AK119" s="334">
        <v>0</v>
      </c>
      <c r="AL119" s="334">
        <v>0</v>
      </c>
      <c r="AM119" s="334" t="s">
        <v>53</v>
      </c>
      <c r="AN119" s="334" t="s">
        <v>53</v>
      </c>
      <c r="AO119" s="334" t="s">
        <v>53</v>
      </c>
      <c r="AP119" s="334" t="s">
        <v>54</v>
      </c>
      <c r="AQ119" s="331"/>
      <c r="AR119" s="357"/>
      <c r="AS119" s="357"/>
      <c r="AT119" s="357"/>
      <c r="AU119" s="357"/>
      <c r="AV119" s="357"/>
      <c r="AW119" s="357"/>
      <c r="AX119" s="357"/>
      <c r="AY119" s="357"/>
      <c r="AZ119" s="357"/>
      <c r="BA119" s="357"/>
      <c r="BB119" s="357"/>
      <c r="BC119" s="357"/>
      <c r="BD119" s="358"/>
      <c r="BE119" s="357"/>
      <c r="BF119" s="357"/>
      <c r="BG119" s="357"/>
      <c r="BH119" s="357"/>
      <c r="BI119" s="357"/>
      <c r="BJ119" s="357"/>
      <c r="BK119" s="357"/>
      <c r="BL119" s="357"/>
      <c r="BM119" s="357"/>
      <c r="BN119" s="357"/>
      <c r="BO119" s="357"/>
      <c r="BP119" s="357"/>
      <c r="BQ119" s="390"/>
      <c r="BR119" s="357"/>
      <c r="BS119" s="357"/>
      <c r="BT119" s="357"/>
      <c r="BU119" s="357"/>
      <c r="BV119" s="357"/>
      <c r="BW119" s="357"/>
      <c r="BX119" s="357"/>
      <c r="BY119" s="357"/>
      <c r="BZ119" s="357"/>
      <c r="CA119" s="357"/>
      <c r="CB119" s="357"/>
      <c r="CC119" s="357"/>
      <c r="CD119" s="357"/>
      <c r="CE119" s="331"/>
      <c r="CF119" s="331"/>
      <c r="CG119" s="331"/>
      <c r="CH119" s="331"/>
      <c r="CI119" s="331"/>
      <c r="CJ119" s="331"/>
      <c r="CK119" s="331"/>
      <c r="CL119" s="331"/>
      <c r="CM119" s="331"/>
      <c r="CN119" s="331"/>
      <c r="CO119" s="331"/>
      <c r="CP119" s="331"/>
      <c r="CQ119" s="331"/>
      <c r="CR119" s="331"/>
      <c r="CS119" s="331"/>
      <c r="CT119" s="331"/>
      <c r="CU119" s="331"/>
      <c r="CV119" s="331"/>
      <c r="CW119" s="331"/>
      <c r="CX119" s="331"/>
      <c r="CY119" s="331"/>
      <c r="CZ119" s="331"/>
      <c r="DA119" s="331"/>
      <c r="DB119" s="331"/>
      <c r="DC119" s="331"/>
      <c r="DD119" s="331"/>
      <c r="DE119" s="1"/>
      <c r="DF119" s="1"/>
      <c r="DG119" s="1"/>
      <c r="DH119" s="1"/>
      <c r="DI119" s="1"/>
      <c r="DJ119" s="1"/>
      <c r="DK119" s="1"/>
      <c r="DL119" s="1"/>
      <c r="DM119" s="1"/>
      <c r="DN119" s="1"/>
      <c r="DO119" s="1"/>
      <c r="DP119" s="1"/>
      <c r="DQ119" s="1"/>
    </row>
    <row r="120" spans="1:121" x14ac:dyDescent="0.2">
      <c r="A120" s="830"/>
      <c r="B120" s="832"/>
      <c r="C120" s="830"/>
      <c r="D120" s="103" t="s">
        <v>1566</v>
      </c>
      <c r="E120" s="531"/>
      <c r="F120" s="331"/>
      <c r="G120" s="331" t="s">
        <v>49</v>
      </c>
      <c r="H120" s="383" t="s">
        <v>328</v>
      </c>
      <c r="I120" s="383" t="s">
        <v>316</v>
      </c>
      <c r="J120" s="402">
        <v>45109</v>
      </c>
      <c r="K120" s="402">
        <v>46205</v>
      </c>
      <c r="L120" s="457" t="s">
        <v>493</v>
      </c>
      <c r="M120" s="355"/>
      <c r="N120" s="355"/>
      <c r="O120" s="355"/>
      <c r="P120" s="458"/>
      <c r="Q120" s="355"/>
      <c r="R120" s="355"/>
      <c r="S120" s="355"/>
      <c r="T120" s="355"/>
      <c r="U120" s="355"/>
      <c r="V120" s="355"/>
      <c r="W120" s="355"/>
      <c r="X120" s="355"/>
      <c r="Y120" s="355"/>
      <c r="Z120" s="459">
        <f t="shared" si="53"/>
        <v>0</v>
      </c>
      <c r="AA120" s="451">
        <f t="shared" si="49"/>
        <v>0</v>
      </c>
      <c r="AB120" s="451">
        <f t="shared" si="50"/>
        <v>0</v>
      </c>
      <c r="AC120" s="450" t="e">
        <f t="shared" si="51"/>
        <v>#VALUE!</v>
      </c>
      <c r="AD120" s="450"/>
      <c r="AE120" s="450"/>
      <c r="AF120" s="450"/>
      <c r="AG120" s="450"/>
      <c r="AH120" s="331"/>
      <c r="AI120" s="334">
        <v>36</v>
      </c>
      <c r="AJ120" s="334" t="s">
        <v>1304</v>
      </c>
      <c r="AK120" s="334">
        <v>0</v>
      </c>
      <c r="AL120" s="334">
        <v>0</v>
      </c>
      <c r="AM120" s="334" t="s">
        <v>53</v>
      </c>
      <c r="AN120" s="334" t="s">
        <v>53</v>
      </c>
      <c r="AO120" s="334" t="s">
        <v>53</v>
      </c>
      <c r="AP120" s="334" t="s">
        <v>54</v>
      </c>
      <c r="AQ120" s="331"/>
      <c r="AR120" s="357"/>
      <c r="AS120" s="357"/>
      <c r="AT120" s="357"/>
      <c r="AU120" s="357"/>
      <c r="AV120" s="357"/>
      <c r="AW120" s="357"/>
      <c r="AX120" s="357"/>
      <c r="AY120" s="357"/>
      <c r="AZ120" s="357"/>
      <c r="BA120" s="357"/>
      <c r="BB120" s="357"/>
      <c r="BC120" s="357"/>
      <c r="BD120" s="358"/>
      <c r="BE120" s="357"/>
      <c r="BF120" s="357"/>
      <c r="BG120" s="357"/>
      <c r="BH120" s="357"/>
      <c r="BI120" s="357"/>
      <c r="BJ120" s="357"/>
      <c r="BK120" s="357"/>
      <c r="BL120" s="357"/>
      <c r="BM120" s="357"/>
      <c r="BN120" s="357"/>
      <c r="BO120" s="357"/>
      <c r="BP120" s="357"/>
      <c r="BQ120" s="390"/>
      <c r="BR120" s="357"/>
      <c r="BS120" s="357"/>
      <c r="BT120" s="357"/>
      <c r="BU120" s="357"/>
      <c r="BV120" s="357"/>
      <c r="BW120" s="357"/>
      <c r="BX120" s="357"/>
      <c r="BY120" s="357"/>
      <c r="BZ120" s="357"/>
      <c r="CA120" s="357"/>
      <c r="CB120" s="357"/>
      <c r="CC120" s="357"/>
      <c r="CD120" s="357"/>
      <c r="CE120" s="331"/>
      <c r="CF120" s="331"/>
      <c r="CG120" s="331"/>
      <c r="CH120" s="331"/>
      <c r="CI120" s="331"/>
      <c r="CJ120" s="331"/>
      <c r="CK120" s="331"/>
      <c r="CL120" s="331"/>
      <c r="CM120" s="331"/>
      <c r="CN120" s="331"/>
      <c r="CO120" s="331"/>
      <c r="CP120" s="331"/>
      <c r="CQ120" s="331"/>
      <c r="CR120" s="331"/>
      <c r="CS120" s="331"/>
      <c r="CT120" s="331"/>
      <c r="CU120" s="331"/>
      <c r="CV120" s="331"/>
      <c r="CW120" s="331"/>
      <c r="CX120" s="331"/>
      <c r="CY120" s="331"/>
      <c r="CZ120" s="331"/>
      <c r="DA120" s="331"/>
      <c r="DB120" s="331"/>
      <c r="DC120" s="331"/>
      <c r="DD120" s="331"/>
      <c r="DE120" s="1"/>
      <c r="DF120" s="1"/>
      <c r="DG120" s="1"/>
      <c r="DH120" s="1"/>
      <c r="DI120" s="1"/>
      <c r="DJ120" s="1"/>
      <c r="DK120" s="1"/>
      <c r="DL120" s="1"/>
      <c r="DM120" s="1"/>
      <c r="DN120" s="1"/>
      <c r="DO120" s="1"/>
      <c r="DP120" s="1"/>
      <c r="DQ120" s="1"/>
    </row>
    <row r="121" spans="1:121" x14ac:dyDescent="0.2">
      <c r="A121" s="830"/>
      <c r="B121" s="832"/>
      <c r="C121" s="830"/>
      <c r="D121" s="103" t="s">
        <v>1567</v>
      </c>
      <c r="E121" s="443"/>
      <c r="F121" s="331"/>
      <c r="G121" s="331" t="s">
        <v>49</v>
      </c>
      <c r="H121" s="383" t="s">
        <v>328</v>
      </c>
      <c r="I121" s="383" t="s">
        <v>316</v>
      </c>
      <c r="J121" s="402">
        <v>45109</v>
      </c>
      <c r="K121" s="402">
        <v>46205</v>
      </c>
      <c r="L121" s="457" t="s">
        <v>493</v>
      </c>
      <c r="M121" s="355"/>
      <c r="N121" s="355"/>
      <c r="O121" s="355"/>
      <c r="P121" s="458"/>
      <c r="Q121" s="355"/>
      <c r="R121" s="355"/>
      <c r="S121" s="355"/>
      <c r="T121" s="355"/>
      <c r="U121" s="355"/>
      <c r="V121" s="355"/>
      <c r="W121" s="355"/>
      <c r="X121" s="355"/>
      <c r="Y121" s="355"/>
      <c r="Z121" s="459">
        <f t="shared" si="53"/>
        <v>0</v>
      </c>
      <c r="AA121" s="451">
        <f t="shared" si="49"/>
        <v>0</v>
      </c>
      <c r="AB121" s="451">
        <f t="shared" si="50"/>
        <v>0</v>
      </c>
      <c r="AC121" s="450" t="e">
        <f t="shared" si="51"/>
        <v>#VALUE!</v>
      </c>
      <c r="AD121" s="450"/>
      <c r="AE121" s="450"/>
      <c r="AF121" s="450"/>
      <c r="AG121" s="450"/>
      <c r="AH121" s="331"/>
      <c r="AI121" s="334">
        <v>36</v>
      </c>
      <c r="AJ121" s="334" t="s">
        <v>1304</v>
      </c>
      <c r="AK121" s="334">
        <v>0</v>
      </c>
      <c r="AL121" s="334">
        <v>0</v>
      </c>
      <c r="AM121" s="334" t="s">
        <v>53</v>
      </c>
      <c r="AN121" s="334" t="s">
        <v>53</v>
      </c>
      <c r="AO121" s="334" t="s">
        <v>53</v>
      </c>
      <c r="AP121" s="334" t="s">
        <v>54</v>
      </c>
      <c r="AQ121" s="331"/>
      <c r="AR121" s="357"/>
      <c r="AS121" s="357"/>
      <c r="AT121" s="357"/>
      <c r="AU121" s="357"/>
      <c r="AV121" s="357"/>
      <c r="AW121" s="357"/>
      <c r="AX121" s="357"/>
      <c r="AY121" s="357"/>
      <c r="AZ121" s="357"/>
      <c r="BA121" s="357"/>
      <c r="BB121" s="357"/>
      <c r="BC121" s="357"/>
      <c r="BD121" s="358"/>
      <c r="BE121" s="357"/>
      <c r="BF121" s="357"/>
      <c r="BG121" s="357"/>
      <c r="BH121" s="357"/>
      <c r="BI121" s="357"/>
      <c r="BJ121" s="357"/>
      <c r="BK121" s="357"/>
      <c r="BL121" s="357"/>
      <c r="BM121" s="357"/>
      <c r="BN121" s="357"/>
      <c r="BO121" s="357"/>
      <c r="BP121" s="357"/>
      <c r="BQ121" s="390"/>
      <c r="BR121" s="357"/>
      <c r="BS121" s="357"/>
      <c r="BT121" s="357"/>
      <c r="BU121" s="357"/>
      <c r="BV121" s="357"/>
      <c r="BW121" s="357"/>
      <c r="BX121" s="357"/>
      <c r="BY121" s="357"/>
      <c r="BZ121" s="357"/>
      <c r="CA121" s="357"/>
      <c r="CB121" s="357"/>
      <c r="CC121" s="357"/>
      <c r="CD121" s="357"/>
      <c r="CE121" s="331"/>
      <c r="CF121" s="331"/>
      <c r="CG121" s="331"/>
      <c r="CH121" s="331"/>
      <c r="CI121" s="331"/>
      <c r="CJ121" s="331"/>
      <c r="CK121" s="331"/>
      <c r="CL121" s="331"/>
      <c r="CM121" s="331"/>
      <c r="CN121" s="331"/>
      <c r="CO121" s="331"/>
      <c r="CP121" s="331"/>
      <c r="CQ121" s="331"/>
      <c r="CR121" s="331"/>
      <c r="CS121" s="331"/>
      <c r="CT121" s="331"/>
      <c r="CU121" s="331"/>
      <c r="CV121" s="331"/>
      <c r="CW121" s="331"/>
      <c r="CX121" s="331"/>
      <c r="CY121" s="331"/>
      <c r="CZ121" s="331"/>
      <c r="DA121" s="331"/>
      <c r="DB121" s="331"/>
      <c r="DC121" s="331"/>
      <c r="DD121" s="331"/>
      <c r="DE121" s="1"/>
      <c r="DF121" s="1"/>
      <c r="DG121" s="1"/>
      <c r="DH121" s="1"/>
      <c r="DI121" s="1"/>
      <c r="DJ121" s="1"/>
      <c r="DK121" s="1"/>
      <c r="DL121" s="1"/>
      <c r="DM121" s="1"/>
      <c r="DN121" s="1"/>
      <c r="DO121" s="1"/>
      <c r="DP121" s="1"/>
      <c r="DQ121" s="1"/>
    </row>
    <row r="122" spans="1:121" x14ac:dyDescent="0.2">
      <c r="A122" s="830"/>
      <c r="B122" s="832"/>
      <c r="C122" s="830"/>
      <c r="D122" s="443" t="s">
        <v>1568</v>
      </c>
      <c r="E122" s="443"/>
      <c r="F122" s="331"/>
      <c r="G122" s="331" t="s">
        <v>49</v>
      </c>
      <c r="H122" s="383" t="s">
        <v>328</v>
      </c>
      <c r="I122" s="383" t="s">
        <v>316</v>
      </c>
      <c r="J122" s="402">
        <v>45109</v>
      </c>
      <c r="K122" s="402">
        <v>46205</v>
      </c>
      <c r="L122" s="457" t="s">
        <v>493</v>
      </c>
      <c r="M122" s="355"/>
      <c r="N122" s="355"/>
      <c r="O122" s="355"/>
      <c r="P122" s="458"/>
      <c r="Q122" s="355"/>
      <c r="R122" s="355"/>
      <c r="S122" s="355"/>
      <c r="T122" s="355"/>
      <c r="U122" s="355"/>
      <c r="V122" s="355"/>
      <c r="W122" s="355"/>
      <c r="X122" s="355"/>
      <c r="Y122" s="355"/>
      <c r="Z122" s="459">
        <f t="shared" si="53"/>
        <v>0</v>
      </c>
      <c r="AA122" s="451">
        <f t="shared" si="49"/>
        <v>0</v>
      </c>
      <c r="AB122" s="451">
        <f t="shared" si="50"/>
        <v>0</v>
      </c>
      <c r="AC122" s="450" t="e">
        <f t="shared" si="51"/>
        <v>#VALUE!</v>
      </c>
      <c r="AD122" s="450"/>
      <c r="AE122" s="450"/>
      <c r="AF122" s="450"/>
      <c r="AG122" s="450"/>
      <c r="AH122" s="331"/>
      <c r="AI122" s="334">
        <v>36</v>
      </c>
      <c r="AJ122" s="334" t="s">
        <v>1304</v>
      </c>
      <c r="AK122" s="334">
        <v>0</v>
      </c>
      <c r="AL122" s="334">
        <v>0</v>
      </c>
      <c r="AM122" s="334" t="s">
        <v>53</v>
      </c>
      <c r="AN122" s="334" t="s">
        <v>53</v>
      </c>
      <c r="AO122" s="334" t="s">
        <v>53</v>
      </c>
      <c r="AP122" s="334" t="s">
        <v>54</v>
      </c>
      <c r="AQ122" s="331"/>
      <c r="AR122" s="357"/>
      <c r="AS122" s="357"/>
      <c r="AT122" s="357"/>
      <c r="AU122" s="357"/>
      <c r="AV122" s="357"/>
      <c r="AW122" s="357"/>
      <c r="AX122" s="357"/>
      <c r="AY122" s="357"/>
      <c r="AZ122" s="357"/>
      <c r="BA122" s="357"/>
      <c r="BB122" s="357"/>
      <c r="BC122" s="357"/>
      <c r="BD122" s="358"/>
      <c r="BE122" s="357"/>
      <c r="BF122" s="357"/>
      <c r="BG122" s="357"/>
      <c r="BH122" s="357"/>
      <c r="BI122" s="357"/>
      <c r="BJ122" s="357"/>
      <c r="BK122" s="357"/>
      <c r="BL122" s="357"/>
      <c r="BM122" s="357"/>
      <c r="BN122" s="357"/>
      <c r="BO122" s="357"/>
      <c r="BP122" s="357"/>
      <c r="BQ122" s="390"/>
      <c r="BR122" s="357"/>
      <c r="BS122" s="357"/>
      <c r="BT122" s="357"/>
      <c r="BU122" s="357"/>
      <c r="BV122" s="357"/>
      <c r="BW122" s="357"/>
      <c r="BX122" s="357"/>
      <c r="BY122" s="357"/>
      <c r="BZ122" s="357"/>
      <c r="CA122" s="357"/>
      <c r="CB122" s="357"/>
      <c r="CC122" s="357"/>
      <c r="CD122" s="357"/>
      <c r="CE122" s="331"/>
      <c r="CF122" s="331"/>
      <c r="CG122" s="331"/>
      <c r="CH122" s="331"/>
      <c r="CI122" s="331"/>
      <c r="CJ122" s="331"/>
      <c r="CK122" s="331"/>
      <c r="CL122" s="331"/>
      <c r="CM122" s="331"/>
      <c r="CN122" s="331"/>
      <c r="CO122" s="331"/>
      <c r="CP122" s="331"/>
      <c r="CQ122" s="331"/>
      <c r="CR122" s="331"/>
      <c r="CS122" s="331"/>
      <c r="CT122" s="331"/>
      <c r="CU122" s="331"/>
      <c r="CV122" s="331"/>
      <c r="CW122" s="331"/>
      <c r="CX122" s="331"/>
      <c r="CY122" s="331"/>
      <c r="CZ122" s="331"/>
      <c r="DA122" s="331"/>
      <c r="DB122" s="331"/>
      <c r="DC122" s="331"/>
      <c r="DD122" s="331"/>
      <c r="DE122" s="1"/>
      <c r="DF122" s="1"/>
      <c r="DG122" s="1"/>
      <c r="DH122" s="1"/>
      <c r="DI122" s="1"/>
      <c r="DJ122" s="1"/>
      <c r="DK122" s="1"/>
      <c r="DL122" s="1"/>
      <c r="DM122" s="1"/>
      <c r="DN122" s="1"/>
      <c r="DO122" s="1"/>
      <c r="DP122" s="1"/>
      <c r="DQ122" s="1"/>
    </row>
    <row r="123" spans="1:121" x14ac:dyDescent="0.2">
      <c r="A123" s="830"/>
      <c r="B123" s="832"/>
      <c r="C123" s="830"/>
      <c r="D123" s="443" t="s">
        <v>1569</v>
      </c>
      <c r="E123" s="443"/>
      <c r="F123" s="331"/>
      <c r="G123" s="331" t="s">
        <v>49</v>
      </c>
      <c r="H123" s="383" t="s">
        <v>328</v>
      </c>
      <c r="I123" s="383" t="s">
        <v>316</v>
      </c>
      <c r="J123" s="402">
        <v>45109</v>
      </c>
      <c r="K123" s="402">
        <v>46205</v>
      </c>
      <c r="L123" s="457" t="s">
        <v>493</v>
      </c>
      <c r="M123" s="355"/>
      <c r="N123" s="355"/>
      <c r="O123" s="355"/>
      <c r="P123" s="458"/>
      <c r="Q123" s="355"/>
      <c r="R123" s="355"/>
      <c r="S123" s="355"/>
      <c r="T123" s="355"/>
      <c r="U123" s="355"/>
      <c r="V123" s="355"/>
      <c r="W123" s="355"/>
      <c r="X123" s="355"/>
      <c r="Y123" s="355"/>
      <c r="Z123" s="459">
        <f t="shared" si="53"/>
        <v>0</v>
      </c>
      <c r="AA123" s="451">
        <f t="shared" si="49"/>
        <v>0</v>
      </c>
      <c r="AB123" s="451">
        <f t="shared" si="50"/>
        <v>0</v>
      </c>
      <c r="AC123" s="450" t="e">
        <f t="shared" si="51"/>
        <v>#VALUE!</v>
      </c>
      <c r="AD123" s="450"/>
      <c r="AE123" s="450"/>
      <c r="AF123" s="450"/>
      <c r="AG123" s="450"/>
      <c r="AH123" s="331"/>
      <c r="AI123" s="334">
        <v>36</v>
      </c>
      <c r="AJ123" s="334" t="s">
        <v>1304</v>
      </c>
      <c r="AK123" s="334">
        <v>0</v>
      </c>
      <c r="AL123" s="334">
        <v>0</v>
      </c>
      <c r="AM123" s="334" t="s">
        <v>53</v>
      </c>
      <c r="AN123" s="334" t="s">
        <v>53</v>
      </c>
      <c r="AO123" s="334" t="s">
        <v>53</v>
      </c>
      <c r="AP123" s="334" t="s">
        <v>54</v>
      </c>
      <c r="AQ123" s="331"/>
      <c r="AR123" s="357"/>
      <c r="AS123" s="357"/>
      <c r="AT123" s="357"/>
      <c r="AU123" s="357"/>
      <c r="AV123" s="357"/>
      <c r="AW123" s="357"/>
      <c r="AX123" s="357"/>
      <c r="AY123" s="357"/>
      <c r="AZ123" s="357"/>
      <c r="BA123" s="357"/>
      <c r="BB123" s="357"/>
      <c r="BC123" s="357"/>
      <c r="BD123" s="358"/>
      <c r="BE123" s="357"/>
      <c r="BF123" s="357"/>
      <c r="BG123" s="357"/>
      <c r="BH123" s="357"/>
      <c r="BI123" s="357"/>
      <c r="BJ123" s="357"/>
      <c r="BK123" s="357"/>
      <c r="BL123" s="357"/>
      <c r="BM123" s="357"/>
      <c r="BN123" s="357"/>
      <c r="BO123" s="357"/>
      <c r="BP123" s="357"/>
      <c r="BQ123" s="390"/>
      <c r="BR123" s="357"/>
      <c r="BS123" s="357"/>
      <c r="BT123" s="357"/>
      <c r="BU123" s="357"/>
      <c r="BV123" s="357"/>
      <c r="BW123" s="357"/>
      <c r="BX123" s="357"/>
      <c r="BY123" s="357"/>
      <c r="BZ123" s="357"/>
      <c r="CA123" s="357"/>
      <c r="CB123" s="357"/>
      <c r="CC123" s="357"/>
      <c r="CD123" s="357"/>
      <c r="CE123" s="331"/>
      <c r="CF123" s="331"/>
      <c r="CG123" s="331"/>
      <c r="CH123" s="331"/>
      <c r="CI123" s="331"/>
      <c r="CJ123" s="331"/>
      <c r="CK123" s="331"/>
      <c r="CL123" s="331"/>
      <c r="CM123" s="331"/>
      <c r="CN123" s="331"/>
      <c r="CO123" s="331"/>
      <c r="CP123" s="331"/>
      <c r="CQ123" s="331"/>
      <c r="CR123" s="331"/>
      <c r="CS123" s="331"/>
      <c r="CT123" s="331"/>
      <c r="CU123" s="331"/>
      <c r="CV123" s="331"/>
      <c r="CW123" s="331"/>
      <c r="CX123" s="331"/>
      <c r="CY123" s="331"/>
      <c r="CZ123" s="331"/>
      <c r="DA123" s="331"/>
      <c r="DB123" s="331"/>
      <c r="DC123" s="331"/>
      <c r="DD123" s="331"/>
      <c r="DE123" s="1"/>
      <c r="DF123" s="1"/>
      <c r="DG123" s="1"/>
      <c r="DH123" s="1"/>
      <c r="DI123" s="1"/>
      <c r="DJ123" s="1"/>
      <c r="DK123" s="1"/>
      <c r="DL123" s="1"/>
      <c r="DM123" s="1"/>
      <c r="DN123" s="1"/>
      <c r="DO123" s="1"/>
      <c r="DP123" s="1"/>
      <c r="DQ123" s="1"/>
    </row>
    <row r="124" spans="1:121" x14ac:dyDescent="0.2">
      <c r="A124" s="830"/>
      <c r="B124" s="832"/>
      <c r="C124" s="830"/>
      <c r="D124" s="443" t="s">
        <v>1570</v>
      </c>
      <c r="E124" s="443"/>
      <c r="F124" s="331"/>
      <c r="G124" s="331" t="s">
        <v>49</v>
      </c>
      <c r="H124" s="383" t="s">
        <v>328</v>
      </c>
      <c r="I124" s="383" t="s">
        <v>316</v>
      </c>
      <c r="J124" s="402">
        <v>45109</v>
      </c>
      <c r="K124" s="402">
        <v>46205</v>
      </c>
      <c r="L124" s="457" t="s">
        <v>493</v>
      </c>
      <c r="M124" s="355"/>
      <c r="N124" s="355"/>
      <c r="O124" s="355"/>
      <c r="P124" s="458"/>
      <c r="Q124" s="355"/>
      <c r="R124" s="355"/>
      <c r="S124" s="355"/>
      <c r="T124" s="355"/>
      <c r="U124" s="355"/>
      <c r="V124" s="355"/>
      <c r="W124" s="355"/>
      <c r="X124" s="355"/>
      <c r="Y124" s="355"/>
      <c r="Z124" s="459">
        <f t="shared" si="53"/>
        <v>0</v>
      </c>
      <c r="AA124" s="451">
        <f t="shared" si="49"/>
        <v>0</v>
      </c>
      <c r="AB124" s="451">
        <f t="shared" si="50"/>
        <v>0</v>
      </c>
      <c r="AC124" s="450" t="e">
        <f t="shared" si="51"/>
        <v>#VALUE!</v>
      </c>
      <c r="AD124" s="450"/>
      <c r="AE124" s="450"/>
      <c r="AF124" s="450"/>
      <c r="AG124" s="450"/>
      <c r="AH124" s="331"/>
      <c r="AI124" s="334">
        <v>36</v>
      </c>
      <c r="AJ124" s="334" t="s">
        <v>1304</v>
      </c>
      <c r="AK124" s="334">
        <v>0</v>
      </c>
      <c r="AL124" s="334">
        <v>0</v>
      </c>
      <c r="AM124" s="334" t="s">
        <v>53</v>
      </c>
      <c r="AN124" s="334" t="s">
        <v>53</v>
      </c>
      <c r="AO124" s="334" t="s">
        <v>53</v>
      </c>
      <c r="AP124" s="334" t="s">
        <v>54</v>
      </c>
      <c r="AQ124" s="331"/>
      <c r="AR124" s="357"/>
      <c r="AS124" s="357"/>
      <c r="AT124" s="357"/>
      <c r="AU124" s="357"/>
      <c r="AV124" s="357"/>
      <c r="AW124" s="357"/>
      <c r="AX124" s="357"/>
      <c r="AY124" s="357"/>
      <c r="AZ124" s="357"/>
      <c r="BA124" s="357"/>
      <c r="BB124" s="357"/>
      <c r="BC124" s="357"/>
      <c r="BD124" s="358"/>
      <c r="BE124" s="357"/>
      <c r="BF124" s="357"/>
      <c r="BG124" s="357"/>
      <c r="BH124" s="357"/>
      <c r="BI124" s="357"/>
      <c r="BJ124" s="357"/>
      <c r="BK124" s="357"/>
      <c r="BL124" s="357"/>
      <c r="BM124" s="357"/>
      <c r="BN124" s="357"/>
      <c r="BO124" s="357"/>
      <c r="BP124" s="357"/>
      <c r="BQ124" s="390"/>
      <c r="BR124" s="357"/>
      <c r="BS124" s="357"/>
      <c r="BT124" s="357"/>
      <c r="BU124" s="357"/>
      <c r="BV124" s="357"/>
      <c r="BW124" s="357"/>
      <c r="BX124" s="357"/>
      <c r="BY124" s="357"/>
      <c r="BZ124" s="357"/>
      <c r="CA124" s="357"/>
      <c r="CB124" s="357"/>
      <c r="CC124" s="357"/>
      <c r="CD124" s="357"/>
      <c r="CE124" s="331"/>
      <c r="CF124" s="331"/>
      <c r="CG124" s="331"/>
      <c r="CH124" s="331"/>
      <c r="CI124" s="331"/>
      <c r="CJ124" s="331"/>
      <c r="CK124" s="331"/>
      <c r="CL124" s="331"/>
      <c r="CM124" s="331"/>
      <c r="CN124" s="331"/>
      <c r="CO124" s="331"/>
      <c r="CP124" s="331"/>
      <c r="CQ124" s="331"/>
      <c r="CR124" s="331"/>
      <c r="CS124" s="331"/>
      <c r="CT124" s="331"/>
      <c r="CU124" s="331"/>
      <c r="CV124" s="331"/>
      <c r="CW124" s="331"/>
      <c r="CX124" s="331"/>
      <c r="CY124" s="331"/>
      <c r="CZ124" s="331"/>
      <c r="DA124" s="331"/>
      <c r="DB124" s="331"/>
      <c r="DC124" s="331"/>
      <c r="DD124" s="331"/>
      <c r="DE124" s="1"/>
      <c r="DF124" s="1"/>
      <c r="DG124" s="1"/>
      <c r="DH124" s="1"/>
      <c r="DI124" s="1"/>
      <c r="DJ124" s="1"/>
      <c r="DK124" s="1"/>
      <c r="DL124" s="1"/>
      <c r="DM124" s="1"/>
      <c r="DN124" s="1"/>
      <c r="DO124" s="1"/>
      <c r="DP124" s="1"/>
      <c r="DQ124" s="1"/>
    </row>
    <row r="125" spans="1:121" x14ac:dyDescent="0.2">
      <c r="A125" s="830"/>
      <c r="B125" s="832"/>
      <c r="C125" s="830"/>
      <c r="D125" s="443" t="s">
        <v>1571</v>
      </c>
      <c r="E125" s="443"/>
      <c r="F125" s="331"/>
      <c r="G125" s="331" t="s">
        <v>49</v>
      </c>
      <c r="H125" s="383" t="s">
        <v>328</v>
      </c>
      <c r="I125" s="383" t="s">
        <v>316</v>
      </c>
      <c r="J125" s="402">
        <v>45109</v>
      </c>
      <c r="K125" s="402">
        <v>46205</v>
      </c>
      <c r="L125" s="457" t="s">
        <v>493</v>
      </c>
      <c r="M125" s="355"/>
      <c r="N125" s="355"/>
      <c r="O125" s="355"/>
      <c r="P125" s="458"/>
      <c r="Q125" s="355"/>
      <c r="R125" s="355"/>
      <c r="S125" s="355"/>
      <c r="T125" s="355"/>
      <c r="U125" s="355"/>
      <c r="V125" s="355"/>
      <c r="W125" s="355"/>
      <c r="X125" s="355"/>
      <c r="Y125" s="355"/>
      <c r="Z125" s="459">
        <f t="shared" si="53"/>
        <v>0</v>
      </c>
      <c r="AA125" s="451">
        <f t="shared" si="49"/>
        <v>0</v>
      </c>
      <c r="AB125" s="451">
        <f t="shared" si="50"/>
        <v>0</v>
      </c>
      <c r="AC125" s="450" t="e">
        <f t="shared" si="51"/>
        <v>#VALUE!</v>
      </c>
      <c r="AD125" s="450"/>
      <c r="AE125" s="450"/>
      <c r="AF125" s="450"/>
      <c r="AG125" s="450"/>
      <c r="AH125" s="331"/>
      <c r="AI125" s="334">
        <v>36</v>
      </c>
      <c r="AJ125" s="334" t="s">
        <v>1304</v>
      </c>
      <c r="AK125" s="334">
        <v>0</v>
      </c>
      <c r="AL125" s="334">
        <v>0</v>
      </c>
      <c r="AM125" s="334" t="s">
        <v>53</v>
      </c>
      <c r="AN125" s="334" t="s">
        <v>53</v>
      </c>
      <c r="AO125" s="334" t="s">
        <v>53</v>
      </c>
      <c r="AP125" s="334" t="s">
        <v>54</v>
      </c>
      <c r="AQ125" s="331"/>
      <c r="AR125" s="357"/>
      <c r="AS125" s="357"/>
      <c r="AT125" s="357"/>
      <c r="AU125" s="357"/>
      <c r="AV125" s="357"/>
      <c r="AW125" s="357"/>
      <c r="AX125" s="357"/>
      <c r="AY125" s="357"/>
      <c r="AZ125" s="357"/>
      <c r="BA125" s="357"/>
      <c r="BB125" s="357"/>
      <c r="BC125" s="357"/>
      <c r="BD125" s="358"/>
      <c r="BE125" s="357"/>
      <c r="BF125" s="357"/>
      <c r="BG125" s="357"/>
      <c r="BH125" s="357"/>
      <c r="BI125" s="357"/>
      <c r="BJ125" s="357"/>
      <c r="BK125" s="357"/>
      <c r="BL125" s="357"/>
      <c r="BM125" s="357"/>
      <c r="BN125" s="357"/>
      <c r="BO125" s="357"/>
      <c r="BP125" s="357"/>
      <c r="BQ125" s="390"/>
      <c r="BR125" s="357"/>
      <c r="BS125" s="357"/>
      <c r="BT125" s="357"/>
      <c r="BU125" s="357"/>
      <c r="BV125" s="357"/>
      <c r="BW125" s="357"/>
      <c r="BX125" s="357"/>
      <c r="BY125" s="357"/>
      <c r="BZ125" s="357"/>
      <c r="CA125" s="357"/>
      <c r="CB125" s="357"/>
      <c r="CC125" s="357"/>
      <c r="CD125" s="357"/>
      <c r="CE125" s="331"/>
      <c r="CF125" s="331"/>
      <c r="CG125" s="331"/>
      <c r="CH125" s="331"/>
      <c r="CI125" s="331"/>
      <c r="CJ125" s="331"/>
      <c r="CK125" s="331"/>
      <c r="CL125" s="331"/>
      <c r="CM125" s="331"/>
      <c r="CN125" s="331"/>
      <c r="CO125" s="331"/>
      <c r="CP125" s="331"/>
      <c r="CQ125" s="331"/>
      <c r="CR125" s="331"/>
      <c r="CS125" s="331"/>
      <c r="CT125" s="331"/>
      <c r="CU125" s="331"/>
      <c r="CV125" s="331"/>
      <c r="CW125" s="331"/>
      <c r="CX125" s="331"/>
      <c r="CY125" s="331"/>
      <c r="CZ125" s="331"/>
      <c r="DA125" s="331"/>
      <c r="DB125" s="331"/>
      <c r="DC125" s="331"/>
      <c r="DD125" s="331"/>
      <c r="DE125" s="1"/>
      <c r="DF125" s="1"/>
      <c r="DG125" s="1"/>
      <c r="DH125" s="1"/>
      <c r="DI125" s="1"/>
      <c r="DJ125" s="1"/>
      <c r="DK125" s="1"/>
      <c r="DL125" s="1"/>
      <c r="DM125" s="1"/>
      <c r="DN125" s="1"/>
      <c r="DO125" s="1"/>
      <c r="DP125" s="1"/>
      <c r="DQ125" s="1"/>
    </row>
    <row r="126" spans="1:121" x14ac:dyDescent="0.2">
      <c r="A126" s="830"/>
      <c r="B126" s="832"/>
      <c r="C126" s="830"/>
      <c r="D126" s="443" t="s">
        <v>1572</v>
      </c>
      <c r="E126" s="443"/>
      <c r="F126" s="331"/>
      <c r="G126" s="331" t="s">
        <v>49</v>
      </c>
      <c r="H126" s="383" t="s">
        <v>328</v>
      </c>
      <c r="I126" s="383" t="s">
        <v>316</v>
      </c>
      <c r="J126" s="402">
        <v>45109</v>
      </c>
      <c r="K126" s="402">
        <v>46205</v>
      </c>
      <c r="L126" s="457" t="s">
        <v>493</v>
      </c>
      <c r="M126" s="355"/>
      <c r="N126" s="355"/>
      <c r="O126" s="355"/>
      <c r="P126" s="458"/>
      <c r="Q126" s="355"/>
      <c r="R126" s="355"/>
      <c r="S126" s="355"/>
      <c r="T126" s="355"/>
      <c r="U126" s="355"/>
      <c r="V126" s="355"/>
      <c r="W126" s="355"/>
      <c r="X126" s="355"/>
      <c r="Y126" s="355"/>
      <c r="Z126" s="459">
        <f t="shared" si="53"/>
        <v>0</v>
      </c>
      <c r="AA126" s="451">
        <f t="shared" si="49"/>
        <v>0</v>
      </c>
      <c r="AB126" s="451">
        <f t="shared" si="50"/>
        <v>0</v>
      </c>
      <c r="AC126" s="450" t="e">
        <f t="shared" si="51"/>
        <v>#VALUE!</v>
      </c>
      <c r="AD126" s="450"/>
      <c r="AE126" s="450"/>
      <c r="AF126" s="450"/>
      <c r="AG126" s="450"/>
      <c r="AH126" s="331"/>
      <c r="AI126" s="334">
        <v>36</v>
      </c>
      <c r="AJ126" s="334" t="s">
        <v>1304</v>
      </c>
      <c r="AK126" s="334">
        <v>0</v>
      </c>
      <c r="AL126" s="334">
        <v>0</v>
      </c>
      <c r="AM126" s="334" t="s">
        <v>53</v>
      </c>
      <c r="AN126" s="334" t="s">
        <v>53</v>
      </c>
      <c r="AO126" s="334" t="s">
        <v>53</v>
      </c>
      <c r="AP126" s="334" t="s">
        <v>54</v>
      </c>
      <c r="AQ126" s="331"/>
      <c r="AR126" s="357"/>
      <c r="AS126" s="357"/>
      <c r="AT126" s="357"/>
      <c r="AU126" s="357"/>
      <c r="AV126" s="357"/>
      <c r="AW126" s="357"/>
      <c r="AX126" s="357"/>
      <c r="AY126" s="357"/>
      <c r="AZ126" s="357"/>
      <c r="BA126" s="357"/>
      <c r="BB126" s="357"/>
      <c r="BC126" s="357"/>
      <c r="BD126" s="358"/>
      <c r="BE126" s="357"/>
      <c r="BF126" s="357"/>
      <c r="BG126" s="357"/>
      <c r="BH126" s="357"/>
      <c r="BI126" s="357"/>
      <c r="BJ126" s="357"/>
      <c r="BK126" s="357"/>
      <c r="BL126" s="357"/>
      <c r="BM126" s="357"/>
      <c r="BN126" s="357"/>
      <c r="BO126" s="357"/>
      <c r="BP126" s="357"/>
      <c r="BQ126" s="390"/>
      <c r="BR126" s="357"/>
      <c r="BS126" s="357"/>
      <c r="BT126" s="357"/>
      <c r="BU126" s="357"/>
      <c r="BV126" s="357"/>
      <c r="BW126" s="357"/>
      <c r="BX126" s="357"/>
      <c r="BY126" s="357"/>
      <c r="BZ126" s="357"/>
      <c r="CA126" s="357"/>
      <c r="CB126" s="357"/>
      <c r="CC126" s="357"/>
      <c r="CD126" s="357"/>
      <c r="CE126" s="331"/>
      <c r="CF126" s="331"/>
      <c r="CG126" s="331"/>
      <c r="CH126" s="331"/>
      <c r="CI126" s="331"/>
      <c r="CJ126" s="331"/>
      <c r="CK126" s="331"/>
      <c r="CL126" s="331"/>
      <c r="CM126" s="331"/>
      <c r="CN126" s="331"/>
      <c r="CO126" s="331"/>
      <c r="CP126" s="331"/>
      <c r="CQ126" s="331"/>
      <c r="CR126" s="331"/>
      <c r="CS126" s="331"/>
      <c r="CT126" s="331"/>
      <c r="CU126" s="331"/>
      <c r="CV126" s="331"/>
      <c r="CW126" s="331"/>
      <c r="CX126" s="331"/>
      <c r="CY126" s="331"/>
      <c r="CZ126" s="331"/>
      <c r="DA126" s="331"/>
      <c r="DB126" s="331"/>
      <c r="DC126" s="331"/>
      <c r="DD126" s="331"/>
      <c r="DE126" s="1"/>
      <c r="DF126" s="1"/>
      <c r="DG126" s="1"/>
      <c r="DH126" s="1"/>
      <c r="DI126" s="1"/>
      <c r="DJ126" s="1"/>
      <c r="DK126" s="1"/>
      <c r="DL126" s="1"/>
      <c r="DM126" s="1"/>
      <c r="DN126" s="1"/>
      <c r="DO126" s="1"/>
      <c r="DP126" s="1"/>
      <c r="DQ126" s="1"/>
    </row>
    <row r="127" spans="1:121" x14ac:dyDescent="0.2">
      <c r="A127" s="830"/>
      <c r="B127" s="832"/>
      <c r="C127" s="830"/>
      <c r="D127" s="443" t="s">
        <v>1573</v>
      </c>
      <c r="E127" s="443"/>
      <c r="F127" s="331"/>
      <c r="G127" s="331" t="s">
        <v>49</v>
      </c>
      <c r="H127" s="383" t="s">
        <v>328</v>
      </c>
      <c r="I127" s="383" t="s">
        <v>316</v>
      </c>
      <c r="J127" s="402">
        <v>45109</v>
      </c>
      <c r="K127" s="402">
        <v>46205</v>
      </c>
      <c r="L127" s="457" t="s">
        <v>493</v>
      </c>
      <c r="M127" s="355"/>
      <c r="N127" s="355"/>
      <c r="O127" s="355"/>
      <c r="P127" s="458"/>
      <c r="Q127" s="355"/>
      <c r="R127" s="355"/>
      <c r="S127" s="355"/>
      <c r="T127" s="355"/>
      <c r="U127" s="355"/>
      <c r="V127" s="355"/>
      <c r="W127" s="355"/>
      <c r="X127" s="355"/>
      <c r="Y127" s="355"/>
      <c r="Z127" s="459">
        <f t="shared" si="53"/>
        <v>0</v>
      </c>
      <c r="AA127" s="451">
        <f t="shared" si="49"/>
        <v>0</v>
      </c>
      <c r="AB127" s="451">
        <f t="shared" si="50"/>
        <v>0</v>
      </c>
      <c r="AC127" s="450" t="e">
        <f t="shared" si="51"/>
        <v>#VALUE!</v>
      </c>
      <c r="AD127" s="450"/>
      <c r="AE127" s="450"/>
      <c r="AF127" s="450"/>
      <c r="AG127" s="450"/>
      <c r="AH127" s="331"/>
      <c r="AI127" s="334">
        <v>36</v>
      </c>
      <c r="AJ127" s="334" t="s">
        <v>1304</v>
      </c>
      <c r="AK127" s="334">
        <v>0</v>
      </c>
      <c r="AL127" s="334">
        <v>0</v>
      </c>
      <c r="AM127" s="334" t="s">
        <v>53</v>
      </c>
      <c r="AN127" s="334" t="s">
        <v>53</v>
      </c>
      <c r="AO127" s="334" t="s">
        <v>53</v>
      </c>
      <c r="AP127" s="334" t="s">
        <v>54</v>
      </c>
      <c r="AQ127" s="331"/>
      <c r="AR127" s="357"/>
      <c r="AS127" s="357"/>
      <c r="AT127" s="357"/>
      <c r="AU127" s="357"/>
      <c r="AV127" s="357"/>
      <c r="AW127" s="357"/>
      <c r="AX127" s="357"/>
      <c r="AY127" s="357"/>
      <c r="AZ127" s="357"/>
      <c r="BA127" s="357"/>
      <c r="BB127" s="357"/>
      <c r="BC127" s="357"/>
      <c r="BD127" s="358"/>
      <c r="BE127" s="357"/>
      <c r="BF127" s="357"/>
      <c r="BG127" s="357"/>
      <c r="BH127" s="357"/>
      <c r="BI127" s="357"/>
      <c r="BJ127" s="357"/>
      <c r="BK127" s="357"/>
      <c r="BL127" s="357"/>
      <c r="BM127" s="357"/>
      <c r="BN127" s="357"/>
      <c r="BO127" s="357"/>
      <c r="BP127" s="357"/>
      <c r="BQ127" s="390"/>
      <c r="BR127" s="357"/>
      <c r="BS127" s="357"/>
      <c r="BT127" s="357"/>
      <c r="BU127" s="357"/>
      <c r="BV127" s="357"/>
      <c r="BW127" s="357"/>
      <c r="BX127" s="357"/>
      <c r="BY127" s="357"/>
      <c r="BZ127" s="357"/>
      <c r="CA127" s="357"/>
      <c r="CB127" s="357"/>
      <c r="CC127" s="357"/>
      <c r="CD127" s="357"/>
      <c r="CE127" s="331"/>
      <c r="CF127" s="331"/>
      <c r="CG127" s="331"/>
      <c r="CH127" s="331"/>
      <c r="CI127" s="331"/>
      <c r="CJ127" s="331"/>
      <c r="CK127" s="331"/>
      <c r="CL127" s="331"/>
      <c r="CM127" s="331"/>
      <c r="CN127" s="331"/>
      <c r="CO127" s="331"/>
      <c r="CP127" s="331"/>
      <c r="CQ127" s="331"/>
      <c r="CR127" s="331"/>
      <c r="CS127" s="331"/>
      <c r="CT127" s="331"/>
      <c r="CU127" s="331"/>
      <c r="CV127" s="331"/>
      <c r="CW127" s="331"/>
      <c r="CX127" s="331"/>
      <c r="CY127" s="331"/>
      <c r="CZ127" s="331"/>
      <c r="DA127" s="331"/>
      <c r="DB127" s="331"/>
      <c r="DC127" s="331"/>
      <c r="DD127" s="331"/>
      <c r="DE127" s="1"/>
      <c r="DF127" s="1"/>
      <c r="DG127" s="1"/>
      <c r="DH127" s="1"/>
      <c r="DI127" s="1"/>
      <c r="DJ127" s="1"/>
      <c r="DK127" s="1"/>
      <c r="DL127" s="1"/>
      <c r="DM127" s="1"/>
      <c r="DN127" s="1"/>
      <c r="DO127" s="1"/>
      <c r="DP127" s="1"/>
      <c r="DQ127" s="1"/>
    </row>
    <row r="128" spans="1:121" x14ac:dyDescent="0.2">
      <c r="A128" s="830"/>
      <c r="B128" s="832"/>
      <c r="C128" s="830"/>
      <c r="D128" s="531" t="s">
        <v>617</v>
      </c>
      <c r="E128" s="531"/>
      <c r="F128" s="331"/>
      <c r="G128" s="331" t="s">
        <v>49</v>
      </c>
      <c r="H128" s="383" t="s">
        <v>328</v>
      </c>
      <c r="I128" s="383" t="s">
        <v>316</v>
      </c>
      <c r="J128" s="402">
        <v>45109</v>
      </c>
      <c r="K128" s="402">
        <v>46205</v>
      </c>
      <c r="L128" s="457" t="s">
        <v>493</v>
      </c>
      <c r="M128" s="355"/>
      <c r="N128" s="355"/>
      <c r="O128" s="355"/>
      <c r="P128" s="458"/>
      <c r="Q128" s="355"/>
      <c r="R128" s="355"/>
      <c r="S128" s="355"/>
      <c r="T128" s="355"/>
      <c r="U128" s="355"/>
      <c r="V128" s="355"/>
      <c r="W128" s="355"/>
      <c r="X128" s="355"/>
      <c r="Y128" s="355"/>
      <c r="Z128" s="459">
        <f t="shared" si="53"/>
        <v>0</v>
      </c>
      <c r="AA128" s="451">
        <f t="shared" si="49"/>
        <v>0</v>
      </c>
      <c r="AB128" s="451">
        <f t="shared" si="50"/>
        <v>0</v>
      </c>
      <c r="AC128" s="450" t="e">
        <f t="shared" si="51"/>
        <v>#VALUE!</v>
      </c>
      <c r="AD128" s="450"/>
      <c r="AE128" s="450"/>
      <c r="AF128" s="450"/>
      <c r="AG128" s="450"/>
      <c r="AH128" s="331"/>
      <c r="AI128" s="334">
        <v>36</v>
      </c>
      <c r="AJ128" s="334" t="s">
        <v>1304</v>
      </c>
      <c r="AK128" s="334">
        <v>0</v>
      </c>
      <c r="AL128" s="334">
        <v>0</v>
      </c>
      <c r="AM128" s="334" t="s">
        <v>53</v>
      </c>
      <c r="AN128" s="334" t="s">
        <v>53</v>
      </c>
      <c r="AO128" s="334" t="s">
        <v>53</v>
      </c>
      <c r="AP128" s="334" t="s">
        <v>54</v>
      </c>
      <c r="AQ128" s="331"/>
      <c r="AR128" s="357"/>
      <c r="AS128" s="357"/>
      <c r="AT128" s="357"/>
      <c r="AU128" s="357"/>
      <c r="AV128" s="357"/>
      <c r="AW128" s="357"/>
      <c r="AX128" s="357"/>
      <c r="AY128" s="357"/>
      <c r="AZ128" s="357"/>
      <c r="BA128" s="357"/>
      <c r="BB128" s="357"/>
      <c r="BC128" s="357"/>
      <c r="BD128" s="358"/>
      <c r="BE128" s="357"/>
      <c r="BF128" s="357"/>
      <c r="BG128" s="357"/>
      <c r="BH128" s="357"/>
      <c r="BI128" s="357"/>
      <c r="BJ128" s="357"/>
      <c r="BK128" s="357"/>
      <c r="BL128" s="357"/>
      <c r="BM128" s="357"/>
      <c r="BN128" s="357"/>
      <c r="BO128" s="357"/>
      <c r="BP128" s="357"/>
      <c r="BQ128" s="390"/>
      <c r="BR128" s="357"/>
      <c r="BS128" s="357"/>
      <c r="BT128" s="357"/>
      <c r="BU128" s="357"/>
      <c r="BV128" s="357"/>
      <c r="BW128" s="357"/>
      <c r="BX128" s="357"/>
      <c r="BY128" s="357"/>
      <c r="BZ128" s="357"/>
      <c r="CA128" s="357"/>
      <c r="CB128" s="357"/>
      <c r="CC128" s="357"/>
      <c r="CD128" s="357"/>
      <c r="CE128" s="331"/>
      <c r="CF128" s="331"/>
      <c r="CG128" s="331"/>
      <c r="CH128" s="331"/>
      <c r="CI128" s="331"/>
      <c r="CJ128" s="331"/>
      <c r="CK128" s="331"/>
      <c r="CL128" s="331"/>
      <c r="CM128" s="331"/>
      <c r="CN128" s="331"/>
      <c r="CO128" s="331"/>
      <c r="CP128" s="331"/>
      <c r="CQ128" s="331"/>
      <c r="CR128" s="331"/>
      <c r="CS128" s="331"/>
      <c r="CT128" s="331"/>
      <c r="CU128" s="331"/>
      <c r="CV128" s="331"/>
      <c r="CW128" s="331"/>
      <c r="CX128" s="331"/>
      <c r="CY128" s="331"/>
      <c r="CZ128" s="331"/>
      <c r="DA128" s="331"/>
      <c r="DB128" s="331"/>
      <c r="DC128" s="331"/>
      <c r="DD128" s="331"/>
      <c r="DE128" s="1"/>
      <c r="DF128" s="1"/>
      <c r="DG128" s="1"/>
      <c r="DH128" s="1"/>
      <c r="DI128" s="1"/>
      <c r="DJ128" s="1"/>
      <c r="DK128" s="1"/>
      <c r="DL128" s="1"/>
      <c r="DM128" s="1"/>
      <c r="DN128" s="1"/>
      <c r="DO128" s="1"/>
      <c r="DP128" s="1"/>
      <c r="DQ128" s="1"/>
    </row>
    <row r="129" spans="1:121" x14ac:dyDescent="0.2">
      <c r="A129" s="830"/>
      <c r="B129" s="832"/>
      <c r="C129" s="830"/>
      <c r="D129" s="443" t="s">
        <v>1574</v>
      </c>
      <c r="E129" s="443"/>
      <c r="F129" s="331"/>
      <c r="G129" s="331" t="s">
        <v>49</v>
      </c>
      <c r="H129" s="383" t="s">
        <v>328</v>
      </c>
      <c r="I129" s="383" t="s">
        <v>316</v>
      </c>
      <c r="J129" s="402">
        <v>45109</v>
      </c>
      <c r="K129" s="402">
        <v>46205</v>
      </c>
      <c r="L129" s="457" t="s">
        <v>493</v>
      </c>
      <c r="M129" s="355"/>
      <c r="N129" s="355"/>
      <c r="O129" s="355"/>
      <c r="P129" s="458"/>
      <c r="Q129" s="355"/>
      <c r="R129" s="355"/>
      <c r="S129" s="355"/>
      <c r="T129" s="355"/>
      <c r="U129" s="355"/>
      <c r="V129" s="355"/>
      <c r="W129" s="355"/>
      <c r="X129" s="355"/>
      <c r="Y129" s="355"/>
      <c r="Z129" s="459">
        <f t="shared" si="53"/>
        <v>0</v>
      </c>
      <c r="AA129" s="451">
        <f t="shared" si="49"/>
        <v>0</v>
      </c>
      <c r="AB129" s="451">
        <f t="shared" si="50"/>
        <v>0</v>
      </c>
      <c r="AC129" s="450" t="e">
        <f t="shared" si="51"/>
        <v>#VALUE!</v>
      </c>
      <c r="AD129" s="450"/>
      <c r="AE129" s="450"/>
      <c r="AF129" s="450"/>
      <c r="AG129" s="450"/>
      <c r="AH129" s="331"/>
      <c r="AI129" s="334">
        <v>36</v>
      </c>
      <c r="AJ129" s="334" t="s">
        <v>1304</v>
      </c>
      <c r="AK129" s="334">
        <v>0</v>
      </c>
      <c r="AL129" s="334">
        <v>0</v>
      </c>
      <c r="AM129" s="334" t="s">
        <v>53</v>
      </c>
      <c r="AN129" s="334" t="s">
        <v>53</v>
      </c>
      <c r="AO129" s="334" t="s">
        <v>53</v>
      </c>
      <c r="AP129" s="334" t="s">
        <v>54</v>
      </c>
      <c r="AQ129" s="331"/>
      <c r="AR129" s="357"/>
      <c r="AS129" s="357"/>
      <c r="AT129" s="357"/>
      <c r="AU129" s="357"/>
      <c r="AV129" s="357"/>
      <c r="AW129" s="357"/>
      <c r="AX129" s="357"/>
      <c r="AY129" s="357"/>
      <c r="AZ129" s="357"/>
      <c r="BA129" s="357"/>
      <c r="BB129" s="357"/>
      <c r="BC129" s="357"/>
      <c r="BD129" s="358"/>
      <c r="BE129" s="357"/>
      <c r="BF129" s="357"/>
      <c r="BG129" s="357"/>
      <c r="BH129" s="357"/>
      <c r="BI129" s="357"/>
      <c r="BJ129" s="357"/>
      <c r="BK129" s="357"/>
      <c r="BL129" s="357"/>
      <c r="BM129" s="357"/>
      <c r="BN129" s="357"/>
      <c r="BO129" s="357"/>
      <c r="BP129" s="357"/>
      <c r="BQ129" s="390"/>
      <c r="BR129" s="357"/>
      <c r="BS129" s="357"/>
      <c r="BT129" s="357"/>
      <c r="BU129" s="357"/>
      <c r="BV129" s="357"/>
      <c r="BW129" s="357"/>
      <c r="BX129" s="357"/>
      <c r="BY129" s="357"/>
      <c r="BZ129" s="357"/>
      <c r="CA129" s="357"/>
      <c r="CB129" s="357"/>
      <c r="CC129" s="357"/>
      <c r="CD129" s="357"/>
      <c r="CE129" s="331"/>
      <c r="CF129" s="331"/>
      <c r="CG129" s="331"/>
      <c r="CH129" s="331"/>
      <c r="CI129" s="331"/>
      <c r="CJ129" s="331"/>
      <c r="CK129" s="331"/>
      <c r="CL129" s="331"/>
      <c r="CM129" s="331"/>
      <c r="CN129" s="331"/>
      <c r="CO129" s="331"/>
      <c r="CP129" s="331"/>
      <c r="CQ129" s="331"/>
      <c r="CR129" s="331"/>
      <c r="CS129" s="331"/>
      <c r="CT129" s="331"/>
      <c r="CU129" s="331"/>
      <c r="CV129" s="331"/>
      <c r="CW129" s="331"/>
      <c r="CX129" s="331"/>
      <c r="CY129" s="331"/>
      <c r="CZ129" s="331"/>
      <c r="DA129" s="331"/>
      <c r="DB129" s="331"/>
      <c r="DC129" s="331"/>
      <c r="DD129" s="331"/>
      <c r="DE129" s="1"/>
      <c r="DF129" s="1"/>
      <c r="DG129" s="1"/>
      <c r="DH129" s="1"/>
      <c r="DI129" s="1"/>
      <c r="DJ129" s="1"/>
      <c r="DK129" s="1"/>
      <c r="DL129" s="1"/>
      <c r="DM129" s="1"/>
      <c r="DN129" s="1"/>
      <c r="DO129" s="1"/>
      <c r="DP129" s="1"/>
      <c r="DQ129" s="1"/>
    </row>
    <row r="130" spans="1:121" x14ac:dyDescent="0.2">
      <c r="A130" s="830"/>
      <c r="B130" s="832"/>
      <c r="C130" s="830"/>
      <c r="D130" s="443" t="s">
        <v>1575</v>
      </c>
      <c r="E130" s="443"/>
      <c r="F130" s="331"/>
      <c r="G130" s="331" t="s">
        <v>49</v>
      </c>
      <c r="H130" s="383" t="s">
        <v>328</v>
      </c>
      <c r="I130" s="383" t="s">
        <v>316</v>
      </c>
      <c r="J130" s="402">
        <v>45109</v>
      </c>
      <c r="K130" s="402">
        <v>46205</v>
      </c>
      <c r="L130" s="457" t="s">
        <v>493</v>
      </c>
      <c r="M130" s="355"/>
      <c r="N130" s="355"/>
      <c r="O130" s="355"/>
      <c r="P130" s="458"/>
      <c r="Q130" s="355"/>
      <c r="R130" s="355"/>
      <c r="S130" s="355"/>
      <c r="T130" s="355"/>
      <c r="U130" s="355"/>
      <c r="V130" s="355"/>
      <c r="W130" s="355"/>
      <c r="X130" s="355"/>
      <c r="Y130" s="355"/>
      <c r="Z130" s="459">
        <f t="shared" si="53"/>
        <v>0</v>
      </c>
      <c r="AA130" s="451">
        <f t="shared" si="49"/>
        <v>0</v>
      </c>
      <c r="AB130" s="451">
        <f t="shared" si="50"/>
        <v>0</v>
      </c>
      <c r="AC130" s="450" t="e">
        <f t="shared" si="51"/>
        <v>#VALUE!</v>
      </c>
      <c r="AD130" s="450"/>
      <c r="AE130" s="450"/>
      <c r="AF130" s="450"/>
      <c r="AG130" s="450"/>
      <c r="AH130" s="331"/>
      <c r="AI130" s="334">
        <v>36</v>
      </c>
      <c r="AJ130" s="334" t="s">
        <v>1304</v>
      </c>
      <c r="AK130" s="334">
        <v>0</v>
      </c>
      <c r="AL130" s="334">
        <v>0</v>
      </c>
      <c r="AM130" s="334" t="s">
        <v>53</v>
      </c>
      <c r="AN130" s="334" t="s">
        <v>53</v>
      </c>
      <c r="AO130" s="334" t="s">
        <v>53</v>
      </c>
      <c r="AP130" s="334" t="s">
        <v>54</v>
      </c>
      <c r="AQ130" s="331"/>
      <c r="AR130" s="357"/>
      <c r="AS130" s="357"/>
      <c r="AT130" s="357"/>
      <c r="AU130" s="357"/>
      <c r="AV130" s="357"/>
      <c r="AW130" s="357"/>
      <c r="AX130" s="357"/>
      <c r="AY130" s="357"/>
      <c r="AZ130" s="357"/>
      <c r="BA130" s="357"/>
      <c r="BB130" s="357"/>
      <c r="BC130" s="357"/>
      <c r="BD130" s="358"/>
      <c r="BE130" s="357"/>
      <c r="BF130" s="357"/>
      <c r="BG130" s="357"/>
      <c r="BH130" s="357"/>
      <c r="BI130" s="357"/>
      <c r="BJ130" s="357"/>
      <c r="BK130" s="357"/>
      <c r="BL130" s="357"/>
      <c r="BM130" s="357"/>
      <c r="BN130" s="357"/>
      <c r="BO130" s="357"/>
      <c r="BP130" s="357"/>
      <c r="BQ130" s="390"/>
      <c r="BR130" s="357"/>
      <c r="BS130" s="357"/>
      <c r="BT130" s="357"/>
      <c r="BU130" s="357"/>
      <c r="BV130" s="357"/>
      <c r="BW130" s="357"/>
      <c r="BX130" s="357"/>
      <c r="BY130" s="357"/>
      <c r="BZ130" s="357"/>
      <c r="CA130" s="357"/>
      <c r="CB130" s="357"/>
      <c r="CC130" s="357"/>
      <c r="CD130" s="357"/>
      <c r="CE130" s="331"/>
      <c r="CF130" s="331"/>
      <c r="CG130" s="331"/>
      <c r="CH130" s="331"/>
      <c r="CI130" s="331"/>
      <c r="CJ130" s="331"/>
      <c r="CK130" s="331"/>
      <c r="CL130" s="331"/>
      <c r="CM130" s="331"/>
      <c r="CN130" s="331"/>
      <c r="CO130" s="331"/>
      <c r="CP130" s="331"/>
      <c r="CQ130" s="331"/>
      <c r="CR130" s="331"/>
      <c r="CS130" s="331"/>
      <c r="CT130" s="331"/>
      <c r="CU130" s="331"/>
      <c r="CV130" s="331"/>
      <c r="CW130" s="331"/>
      <c r="CX130" s="331"/>
      <c r="CY130" s="331"/>
      <c r="CZ130" s="331"/>
      <c r="DA130" s="331"/>
      <c r="DB130" s="331"/>
      <c r="DC130" s="331"/>
      <c r="DD130" s="331"/>
      <c r="DE130" s="1"/>
      <c r="DF130" s="1"/>
      <c r="DG130" s="1"/>
      <c r="DH130" s="1"/>
      <c r="DI130" s="1"/>
      <c r="DJ130" s="1"/>
      <c r="DK130" s="1"/>
      <c r="DL130" s="1"/>
      <c r="DM130" s="1"/>
      <c r="DN130" s="1"/>
      <c r="DO130" s="1"/>
      <c r="DP130" s="1"/>
      <c r="DQ130" s="1"/>
    </row>
    <row r="131" spans="1:121" x14ac:dyDescent="0.2">
      <c r="A131" s="830"/>
      <c r="B131" s="832"/>
      <c r="C131" s="830"/>
      <c r="D131" s="443" t="s">
        <v>1576</v>
      </c>
      <c r="E131" s="443"/>
      <c r="F131" s="331"/>
      <c r="G131" s="331" t="s">
        <v>49</v>
      </c>
      <c r="H131" s="383" t="s">
        <v>328</v>
      </c>
      <c r="I131" s="383" t="s">
        <v>316</v>
      </c>
      <c r="J131" s="402">
        <v>45109</v>
      </c>
      <c r="K131" s="402">
        <v>46205</v>
      </c>
      <c r="L131" s="457" t="s">
        <v>493</v>
      </c>
      <c r="M131" s="355"/>
      <c r="N131" s="355"/>
      <c r="O131" s="355"/>
      <c r="P131" s="458"/>
      <c r="Q131" s="355"/>
      <c r="R131" s="355"/>
      <c r="S131" s="355"/>
      <c r="T131" s="355"/>
      <c r="U131" s="355"/>
      <c r="V131" s="355"/>
      <c r="W131" s="355"/>
      <c r="X131" s="355"/>
      <c r="Y131" s="355"/>
      <c r="Z131" s="459">
        <f t="shared" si="53"/>
        <v>0</v>
      </c>
      <c r="AA131" s="451">
        <f t="shared" si="49"/>
        <v>0</v>
      </c>
      <c r="AB131" s="451">
        <f t="shared" si="50"/>
        <v>0</v>
      </c>
      <c r="AC131" s="450" t="e">
        <f t="shared" si="51"/>
        <v>#VALUE!</v>
      </c>
      <c r="AD131" s="450"/>
      <c r="AE131" s="450"/>
      <c r="AF131" s="450"/>
      <c r="AG131" s="450"/>
      <c r="AH131" s="331"/>
      <c r="AI131" s="334">
        <v>36</v>
      </c>
      <c r="AJ131" s="334" t="s">
        <v>1304</v>
      </c>
      <c r="AK131" s="334">
        <v>0</v>
      </c>
      <c r="AL131" s="334">
        <v>0</v>
      </c>
      <c r="AM131" s="334" t="s">
        <v>53</v>
      </c>
      <c r="AN131" s="334" t="s">
        <v>53</v>
      </c>
      <c r="AO131" s="334" t="s">
        <v>53</v>
      </c>
      <c r="AP131" s="334" t="s">
        <v>54</v>
      </c>
      <c r="AQ131" s="331"/>
      <c r="AR131" s="357"/>
      <c r="AS131" s="357"/>
      <c r="AT131" s="357"/>
      <c r="AU131" s="357"/>
      <c r="AV131" s="357"/>
      <c r="AW131" s="357"/>
      <c r="AX131" s="357"/>
      <c r="AY131" s="357"/>
      <c r="AZ131" s="357"/>
      <c r="BA131" s="357"/>
      <c r="BB131" s="357"/>
      <c r="BC131" s="357"/>
      <c r="BD131" s="358"/>
      <c r="BE131" s="357"/>
      <c r="BF131" s="357"/>
      <c r="BG131" s="357"/>
      <c r="BH131" s="357"/>
      <c r="BI131" s="357"/>
      <c r="BJ131" s="357"/>
      <c r="BK131" s="357"/>
      <c r="BL131" s="357"/>
      <c r="BM131" s="357"/>
      <c r="BN131" s="357"/>
      <c r="BO131" s="357"/>
      <c r="BP131" s="357"/>
      <c r="BQ131" s="390"/>
      <c r="BR131" s="357"/>
      <c r="BS131" s="357"/>
      <c r="BT131" s="357"/>
      <c r="BU131" s="357"/>
      <c r="BV131" s="357"/>
      <c r="BW131" s="357"/>
      <c r="BX131" s="357"/>
      <c r="BY131" s="357"/>
      <c r="BZ131" s="357"/>
      <c r="CA131" s="357"/>
      <c r="CB131" s="357"/>
      <c r="CC131" s="357"/>
      <c r="CD131" s="357"/>
      <c r="CE131" s="331"/>
      <c r="CF131" s="331"/>
      <c r="CG131" s="331"/>
      <c r="CH131" s="331"/>
      <c r="CI131" s="331"/>
      <c r="CJ131" s="331"/>
      <c r="CK131" s="331"/>
      <c r="CL131" s="331"/>
      <c r="CM131" s="331"/>
      <c r="CN131" s="331"/>
      <c r="CO131" s="331"/>
      <c r="CP131" s="331"/>
      <c r="CQ131" s="331"/>
      <c r="CR131" s="331"/>
      <c r="CS131" s="331"/>
      <c r="CT131" s="331"/>
      <c r="CU131" s="331"/>
      <c r="CV131" s="331"/>
      <c r="CW131" s="331"/>
      <c r="CX131" s="331"/>
      <c r="CY131" s="331"/>
      <c r="CZ131" s="331"/>
      <c r="DA131" s="331"/>
      <c r="DB131" s="331"/>
      <c r="DC131" s="331"/>
      <c r="DD131" s="331"/>
      <c r="DE131" s="1"/>
      <c r="DF131" s="1"/>
      <c r="DG131" s="1"/>
      <c r="DH131" s="1"/>
      <c r="DI131" s="1"/>
      <c r="DJ131" s="1"/>
      <c r="DK131" s="1"/>
      <c r="DL131" s="1"/>
      <c r="DM131" s="1"/>
      <c r="DN131" s="1"/>
      <c r="DO131" s="1"/>
      <c r="DP131" s="1"/>
      <c r="DQ131" s="1"/>
    </row>
    <row r="132" spans="1:121" x14ac:dyDescent="0.2">
      <c r="A132" s="830"/>
      <c r="B132" s="832"/>
      <c r="C132" s="830"/>
      <c r="D132" s="443" t="s">
        <v>1577</v>
      </c>
      <c r="E132" s="443"/>
      <c r="F132" s="331"/>
      <c r="G132" s="331" t="s">
        <v>49</v>
      </c>
      <c r="H132" s="383" t="s">
        <v>328</v>
      </c>
      <c r="I132" s="383" t="s">
        <v>316</v>
      </c>
      <c r="J132" s="402">
        <v>45109</v>
      </c>
      <c r="K132" s="402">
        <v>46205</v>
      </c>
      <c r="L132" s="457" t="s">
        <v>493</v>
      </c>
      <c r="M132" s="355"/>
      <c r="N132" s="355"/>
      <c r="O132" s="355"/>
      <c r="P132" s="458"/>
      <c r="Q132" s="355"/>
      <c r="R132" s="355"/>
      <c r="S132" s="355"/>
      <c r="T132" s="355"/>
      <c r="U132" s="355"/>
      <c r="V132" s="355"/>
      <c r="W132" s="355"/>
      <c r="X132" s="355"/>
      <c r="Y132" s="355"/>
      <c r="Z132" s="459">
        <f t="shared" si="53"/>
        <v>0</v>
      </c>
      <c r="AA132" s="451">
        <f t="shared" ref="AA132:AA189" si="54">DD132</f>
        <v>0</v>
      </c>
      <c r="AB132" s="451">
        <f t="shared" ref="AB132:AB189" si="55">Z132+AA132</f>
        <v>0</v>
      </c>
      <c r="AC132" s="450" t="e">
        <f t="shared" ref="AC132:AC189" si="56">L132-AB132</f>
        <v>#VALUE!</v>
      </c>
      <c r="AD132" s="450"/>
      <c r="AE132" s="450"/>
      <c r="AF132" s="450"/>
      <c r="AG132" s="450"/>
      <c r="AH132" s="331"/>
      <c r="AI132" s="334">
        <v>36</v>
      </c>
      <c r="AJ132" s="334" t="s">
        <v>1304</v>
      </c>
      <c r="AK132" s="334">
        <v>0</v>
      </c>
      <c r="AL132" s="334">
        <v>0</v>
      </c>
      <c r="AM132" s="334" t="s">
        <v>53</v>
      </c>
      <c r="AN132" s="334" t="s">
        <v>53</v>
      </c>
      <c r="AO132" s="334" t="s">
        <v>53</v>
      </c>
      <c r="AP132" s="334" t="s">
        <v>54</v>
      </c>
      <c r="AQ132" s="331"/>
      <c r="AR132" s="357"/>
      <c r="AS132" s="357"/>
      <c r="AT132" s="357"/>
      <c r="AU132" s="357"/>
      <c r="AV132" s="357"/>
      <c r="AW132" s="357"/>
      <c r="AX132" s="357"/>
      <c r="AY132" s="357"/>
      <c r="AZ132" s="357"/>
      <c r="BA132" s="357"/>
      <c r="BB132" s="357"/>
      <c r="BC132" s="357"/>
      <c r="BD132" s="358"/>
      <c r="BE132" s="357"/>
      <c r="BF132" s="357"/>
      <c r="BG132" s="357"/>
      <c r="BH132" s="357"/>
      <c r="BI132" s="357"/>
      <c r="BJ132" s="357"/>
      <c r="BK132" s="357"/>
      <c r="BL132" s="357"/>
      <c r="BM132" s="357"/>
      <c r="BN132" s="357"/>
      <c r="BO132" s="357"/>
      <c r="BP132" s="357"/>
      <c r="BQ132" s="390"/>
      <c r="BR132" s="357"/>
      <c r="BS132" s="357"/>
      <c r="BT132" s="357"/>
      <c r="BU132" s="357"/>
      <c r="BV132" s="357"/>
      <c r="BW132" s="357"/>
      <c r="BX132" s="357"/>
      <c r="BY132" s="357"/>
      <c r="BZ132" s="357"/>
      <c r="CA132" s="357"/>
      <c r="CB132" s="357"/>
      <c r="CC132" s="357"/>
      <c r="CD132" s="357"/>
      <c r="CE132" s="331"/>
      <c r="CF132" s="331"/>
      <c r="CG132" s="331"/>
      <c r="CH132" s="331"/>
      <c r="CI132" s="331"/>
      <c r="CJ132" s="331"/>
      <c r="CK132" s="331"/>
      <c r="CL132" s="331"/>
      <c r="CM132" s="331"/>
      <c r="CN132" s="331"/>
      <c r="CO132" s="331"/>
      <c r="CP132" s="331"/>
      <c r="CQ132" s="331"/>
      <c r="CR132" s="331"/>
      <c r="CS132" s="331"/>
      <c r="CT132" s="331"/>
      <c r="CU132" s="331"/>
      <c r="CV132" s="331"/>
      <c r="CW132" s="331"/>
      <c r="CX132" s="331"/>
      <c r="CY132" s="331"/>
      <c r="CZ132" s="331"/>
      <c r="DA132" s="331"/>
      <c r="DB132" s="331"/>
      <c r="DC132" s="331"/>
      <c r="DD132" s="331"/>
      <c r="DE132" s="1"/>
      <c r="DF132" s="1"/>
      <c r="DG132" s="1"/>
      <c r="DH132" s="1"/>
      <c r="DI132" s="1"/>
      <c r="DJ132" s="1"/>
      <c r="DK132" s="1"/>
      <c r="DL132" s="1"/>
      <c r="DM132" s="1"/>
      <c r="DN132" s="1"/>
      <c r="DO132" s="1"/>
      <c r="DP132" s="1"/>
      <c r="DQ132" s="1"/>
    </row>
    <row r="133" spans="1:121" x14ac:dyDescent="0.2">
      <c r="A133" s="830"/>
      <c r="B133" s="832"/>
      <c r="C133" s="830"/>
      <c r="D133" s="443" t="s">
        <v>1578</v>
      </c>
      <c r="E133" s="443"/>
      <c r="F133" s="331"/>
      <c r="G133" s="331" t="s">
        <v>49</v>
      </c>
      <c r="H133" s="383" t="s">
        <v>328</v>
      </c>
      <c r="I133" s="383" t="s">
        <v>316</v>
      </c>
      <c r="J133" s="402">
        <v>45109</v>
      </c>
      <c r="K133" s="402">
        <v>46205</v>
      </c>
      <c r="L133" s="457" t="s">
        <v>493</v>
      </c>
      <c r="M133" s="355"/>
      <c r="N133" s="355"/>
      <c r="O133" s="355"/>
      <c r="P133" s="458"/>
      <c r="Q133" s="355"/>
      <c r="R133" s="355"/>
      <c r="S133" s="355"/>
      <c r="T133" s="355"/>
      <c r="U133" s="355"/>
      <c r="V133" s="355"/>
      <c r="W133" s="355"/>
      <c r="X133" s="355"/>
      <c r="Y133" s="355"/>
      <c r="Z133" s="459">
        <f t="shared" si="53"/>
        <v>0</v>
      </c>
      <c r="AA133" s="451">
        <f t="shared" si="54"/>
        <v>0</v>
      </c>
      <c r="AB133" s="451">
        <f t="shared" si="55"/>
        <v>0</v>
      </c>
      <c r="AC133" s="450" t="e">
        <f t="shared" si="56"/>
        <v>#VALUE!</v>
      </c>
      <c r="AD133" s="450"/>
      <c r="AE133" s="450"/>
      <c r="AF133" s="450"/>
      <c r="AG133" s="450"/>
      <c r="AH133" s="331"/>
      <c r="AI133" s="334">
        <v>36</v>
      </c>
      <c r="AJ133" s="334" t="s">
        <v>1304</v>
      </c>
      <c r="AK133" s="334">
        <v>0</v>
      </c>
      <c r="AL133" s="334">
        <v>0</v>
      </c>
      <c r="AM133" s="334" t="s">
        <v>53</v>
      </c>
      <c r="AN133" s="334" t="s">
        <v>53</v>
      </c>
      <c r="AO133" s="334" t="s">
        <v>53</v>
      </c>
      <c r="AP133" s="334" t="s">
        <v>54</v>
      </c>
      <c r="AQ133" s="331"/>
      <c r="AR133" s="357"/>
      <c r="AS133" s="357"/>
      <c r="AT133" s="357"/>
      <c r="AU133" s="357"/>
      <c r="AV133" s="357"/>
      <c r="AW133" s="357"/>
      <c r="AX133" s="357"/>
      <c r="AY133" s="357"/>
      <c r="AZ133" s="357"/>
      <c r="BA133" s="357"/>
      <c r="BB133" s="357"/>
      <c r="BC133" s="357"/>
      <c r="BD133" s="358"/>
      <c r="BE133" s="357"/>
      <c r="BF133" s="357"/>
      <c r="BG133" s="357"/>
      <c r="BH133" s="357"/>
      <c r="BI133" s="357"/>
      <c r="BJ133" s="357"/>
      <c r="BK133" s="357"/>
      <c r="BL133" s="357"/>
      <c r="BM133" s="357"/>
      <c r="BN133" s="357"/>
      <c r="BO133" s="357"/>
      <c r="BP133" s="357"/>
      <c r="BQ133" s="390"/>
      <c r="BR133" s="357"/>
      <c r="BS133" s="357"/>
      <c r="BT133" s="357"/>
      <c r="BU133" s="357"/>
      <c r="BV133" s="357"/>
      <c r="BW133" s="357"/>
      <c r="BX133" s="357"/>
      <c r="BY133" s="357"/>
      <c r="BZ133" s="357"/>
      <c r="CA133" s="357"/>
      <c r="CB133" s="357"/>
      <c r="CC133" s="357"/>
      <c r="CD133" s="357"/>
      <c r="CE133" s="331"/>
      <c r="CF133" s="331"/>
      <c r="CG133" s="331"/>
      <c r="CH133" s="331"/>
      <c r="CI133" s="331"/>
      <c r="CJ133" s="331"/>
      <c r="CK133" s="331"/>
      <c r="CL133" s="331"/>
      <c r="CM133" s="331"/>
      <c r="CN133" s="331"/>
      <c r="CO133" s="331"/>
      <c r="CP133" s="331"/>
      <c r="CQ133" s="331"/>
      <c r="CR133" s="331"/>
      <c r="CS133" s="331"/>
      <c r="CT133" s="331"/>
      <c r="CU133" s="331"/>
      <c r="CV133" s="331"/>
      <c r="CW133" s="331"/>
      <c r="CX133" s="331"/>
      <c r="CY133" s="331"/>
      <c r="CZ133" s="331"/>
      <c r="DA133" s="331"/>
      <c r="DB133" s="331"/>
      <c r="DC133" s="331"/>
      <c r="DD133" s="331"/>
      <c r="DE133" s="1"/>
      <c r="DF133" s="1"/>
      <c r="DG133" s="1"/>
      <c r="DH133" s="1"/>
      <c r="DI133" s="1"/>
      <c r="DJ133" s="1"/>
      <c r="DK133" s="1"/>
      <c r="DL133" s="1"/>
      <c r="DM133" s="1"/>
      <c r="DN133" s="1"/>
      <c r="DO133" s="1"/>
      <c r="DP133" s="1"/>
      <c r="DQ133" s="1"/>
    </row>
    <row r="134" spans="1:121" x14ac:dyDescent="0.2">
      <c r="A134" s="830"/>
      <c r="B134" s="832"/>
      <c r="C134" s="830"/>
      <c r="D134" s="531" t="s">
        <v>1579</v>
      </c>
      <c r="E134" s="531"/>
      <c r="F134" s="331"/>
      <c r="G134" s="331" t="s">
        <v>49</v>
      </c>
      <c r="H134" s="383" t="s">
        <v>328</v>
      </c>
      <c r="I134" s="383" t="s">
        <v>316</v>
      </c>
      <c r="J134" s="402">
        <v>45109</v>
      </c>
      <c r="K134" s="402">
        <v>46205</v>
      </c>
      <c r="L134" s="457" t="s">
        <v>493</v>
      </c>
      <c r="M134" s="355"/>
      <c r="N134" s="355"/>
      <c r="O134" s="355"/>
      <c r="P134" s="458"/>
      <c r="Q134" s="355"/>
      <c r="R134" s="355"/>
      <c r="S134" s="355"/>
      <c r="T134" s="355"/>
      <c r="U134" s="355"/>
      <c r="V134" s="355"/>
      <c r="W134" s="355"/>
      <c r="X134" s="355"/>
      <c r="Y134" s="355"/>
      <c r="Z134" s="459">
        <f t="shared" si="53"/>
        <v>0</v>
      </c>
      <c r="AA134" s="451">
        <f t="shared" si="54"/>
        <v>0</v>
      </c>
      <c r="AB134" s="451">
        <f t="shared" si="55"/>
        <v>0</v>
      </c>
      <c r="AC134" s="450" t="e">
        <f t="shared" si="56"/>
        <v>#VALUE!</v>
      </c>
      <c r="AD134" s="450"/>
      <c r="AE134" s="450"/>
      <c r="AF134" s="450"/>
      <c r="AG134" s="450"/>
      <c r="AH134" s="331"/>
      <c r="AI134" s="334">
        <v>36</v>
      </c>
      <c r="AJ134" s="334" t="s">
        <v>1304</v>
      </c>
      <c r="AK134" s="334">
        <v>0</v>
      </c>
      <c r="AL134" s="334">
        <v>0</v>
      </c>
      <c r="AM134" s="334" t="s">
        <v>53</v>
      </c>
      <c r="AN134" s="334" t="s">
        <v>53</v>
      </c>
      <c r="AO134" s="334" t="s">
        <v>53</v>
      </c>
      <c r="AP134" s="334" t="s">
        <v>54</v>
      </c>
      <c r="AQ134" s="331"/>
      <c r="AR134" s="357"/>
      <c r="AS134" s="357"/>
      <c r="AT134" s="357"/>
      <c r="AU134" s="357"/>
      <c r="AV134" s="357"/>
      <c r="AW134" s="357"/>
      <c r="AX134" s="357"/>
      <c r="AY134" s="357"/>
      <c r="AZ134" s="357"/>
      <c r="BA134" s="357"/>
      <c r="BB134" s="357"/>
      <c r="BC134" s="357"/>
      <c r="BD134" s="358"/>
      <c r="BE134" s="357"/>
      <c r="BF134" s="357"/>
      <c r="BG134" s="357"/>
      <c r="BH134" s="357"/>
      <c r="BI134" s="357"/>
      <c r="BJ134" s="357"/>
      <c r="BK134" s="357"/>
      <c r="BL134" s="357"/>
      <c r="BM134" s="357"/>
      <c r="BN134" s="357"/>
      <c r="BO134" s="357"/>
      <c r="BP134" s="357"/>
      <c r="BQ134" s="390"/>
      <c r="BR134" s="357"/>
      <c r="BS134" s="357"/>
      <c r="BT134" s="357"/>
      <c r="BU134" s="357"/>
      <c r="BV134" s="357"/>
      <c r="BW134" s="357"/>
      <c r="BX134" s="357"/>
      <c r="BY134" s="357"/>
      <c r="BZ134" s="357"/>
      <c r="CA134" s="357"/>
      <c r="CB134" s="357"/>
      <c r="CC134" s="357"/>
      <c r="CD134" s="357"/>
      <c r="CE134" s="331"/>
      <c r="CF134" s="331"/>
      <c r="CG134" s="331"/>
      <c r="CH134" s="331"/>
      <c r="CI134" s="331"/>
      <c r="CJ134" s="331"/>
      <c r="CK134" s="331"/>
      <c r="CL134" s="331"/>
      <c r="CM134" s="331"/>
      <c r="CN134" s="331"/>
      <c r="CO134" s="331"/>
      <c r="CP134" s="331"/>
      <c r="CQ134" s="331"/>
      <c r="CR134" s="331"/>
      <c r="CS134" s="331"/>
      <c r="CT134" s="331"/>
      <c r="CU134" s="331"/>
      <c r="CV134" s="331"/>
      <c r="CW134" s="331"/>
      <c r="CX134" s="331"/>
      <c r="CY134" s="331"/>
      <c r="CZ134" s="331"/>
      <c r="DA134" s="331"/>
      <c r="DB134" s="331"/>
      <c r="DC134" s="331"/>
      <c r="DD134" s="331"/>
      <c r="DE134" s="1"/>
      <c r="DF134" s="1"/>
      <c r="DG134" s="1"/>
      <c r="DH134" s="1"/>
      <c r="DI134" s="1"/>
      <c r="DJ134" s="1"/>
      <c r="DK134" s="1"/>
      <c r="DL134" s="1"/>
      <c r="DM134" s="1"/>
      <c r="DN134" s="1"/>
      <c r="DO134" s="1"/>
      <c r="DP134" s="1"/>
      <c r="DQ134" s="1"/>
    </row>
    <row r="135" spans="1:121" x14ac:dyDescent="0.2">
      <c r="A135" s="830"/>
      <c r="B135" s="832"/>
      <c r="C135" s="830"/>
      <c r="D135" s="443" t="s">
        <v>1580</v>
      </c>
      <c r="E135" s="443"/>
      <c r="F135" s="331"/>
      <c r="G135" s="331" t="s">
        <v>49</v>
      </c>
      <c r="H135" s="383" t="s">
        <v>328</v>
      </c>
      <c r="I135" s="383" t="s">
        <v>316</v>
      </c>
      <c r="J135" s="402">
        <v>45109</v>
      </c>
      <c r="K135" s="402">
        <v>46205</v>
      </c>
      <c r="L135" s="457" t="s">
        <v>493</v>
      </c>
      <c r="M135" s="355"/>
      <c r="N135" s="355"/>
      <c r="O135" s="355"/>
      <c r="P135" s="458"/>
      <c r="Q135" s="355"/>
      <c r="R135" s="355"/>
      <c r="S135" s="355"/>
      <c r="T135" s="355"/>
      <c r="U135" s="355"/>
      <c r="V135" s="355"/>
      <c r="W135" s="355"/>
      <c r="X135" s="355"/>
      <c r="Y135" s="355"/>
      <c r="Z135" s="459">
        <f t="shared" si="53"/>
        <v>0</v>
      </c>
      <c r="AA135" s="451">
        <f t="shared" si="54"/>
        <v>0</v>
      </c>
      <c r="AB135" s="451">
        <f t="shared" si="55"/>
        <v>0</v>
      </c>
      <c r="AC135" s="450" t="e">
        <f t="shared" si="56"/>
        <v>#VALUE!</v>
      </c>
      <c r="AD135" s="450"/>
      <c r="AE135" s="450"/>
      <c r="AF135" s="450"/>
      <c r="AG135" s="450"/>
      <c r="AH135" s="331"/>
      <c r="AI135" s="334">
        <v>36</v>
      </c>
      <c r="AJ135" s="334" t="s">
        <v>1304</v>
      </c>
      <c r="AK135" s="334">
        <v>0</v>
      </c>
      <c r="AL135" s="334">
        <v>0</v>
      </c>
      <c r="AM135" s="334" t="s">
        <v>53</v>
      </c>
      <c r="AN135" s="334" t="s">
        <v>53</v>
      </c>
      <c r="AO135" s="334" t="s">
        <v>53</v>
      </c>
      <c r="AP135" s="334" t="s">
        <v>54</v>
      </c>
      <c r="AQ135" s="331"/>
      <c r="AR135" s="357"/>
      <c r="AS135" s="357"/>
      <c r="AT135" s="357"/>
      <c r="AU135" s="357"/>
      <c r="AV135" s="357"/>
      <c r="AW135" s="357"/>
      <c r="AX135" s="357"/>
      <c r="AY135" s="357"/>
      <c r="AZ135" s="357"/>
      <c r="BA135" s="357"/>
      <c r="BB135" s="357"/>
      <c r="BC135" s="357"/>
      <c r="BD135" s="358"/>
      <c r="BE135" s="357"/>
      <c r="BF135" s="357"/>
      <c r="BG135" s="357"/>
      <c r="BH135" s="357"/>
      <c r="BI135" s="357"/>
      <c r="BJ135" s="357"/>
      <c r="BK135" s="357"/>
      <c r="BL135" s="357"/>
      <c r="BM135" s="357"/>
      <c r="BN135" s="357"/>
      <c r="BO135" s="357"/>
      <c r="BP135" s="357"/>
      <c r="BQ135" s="390"/>
      <c r="BR135" s="357"/>
      <c r="BS135" s="357"/>
      <c r="BT135" s="357"/>
      <c r="BU135" s="357"/>
      <c r="BV135" s="357"/>
      <c r="BW135" s="357"/>
      <c r="BX135" s="357"/>
      <c r="BY135" s="357"/>
      <c r="BZ135" s="357"/>
      <c r="CA135" s="357"/>
      <c r="CB135" s="357"/>
      <c r="CC135" s="357"/>
      <c r="CD135" s="357"/>
      <c r="CE135" s="331"/>
      <c r="CF135" s="331"/>
      <c r="CG135" s="331"/>
      <c r="CH135" s="331"/>
      <c r="CI135" s="331"/>
      <c r="CJ135" s="331"/>
      <c r="CK135" s="331"/>
      <c r="CL135" s="331"/>
      <c r="CM135" s="331"/>
      <c r="CN135" s="331"/>
      <c r="CO135" s="331"/>
      <c r="CP135" s="331"/>
      <c r="CQ135" s="331"/>
      <c r="CR135" s="331"/>
      <c r="CS135" s="331"/>
      <c r="CT135" s="331"/>
      <c r="CU135" s="331"/>
      <c r="CV135" s="331"/>
      <c r="CW135" s="331"/>
      <c r="CX135" s="331"/>
      <c r="CY135" s="331"/>
      <c r="CZ135" s="331"/>
      <c r="DA135" s="331"/>
      <c r="DB135" s="331"/>
      <c r="DC135" s="331"/>
      <c r="DD135" s="331"/>
      <c r="DE135" s="1"/>
      <c r="DF135" s="1"/>
      <c r="DG135" s="1"/>
      <c r="DH135" s="1"/>
      <c r="DI135" s="1"/>
      <c r="DJ135" s="1"/>
      <c r="DK135" s="1"/>
      <c r="DL135" s="1"/>
      <c r="DM135" s="1"/>
      <c r="DN135" s="1"/>
      <c r="DO135" s="1"/>
      <c r="DP135" s="1"/>
      <c r="DQ135" s="1"/>
    </row>
    <row r="136" spans="1:121" x14ac:dyDescent="0.2">
      <c r="A136" s="830"/>
      <c r="B136" s="832"/>
      <c r="C136" s="830"/>
      <c r="D136" s="443" t="s">
        <v>1581</v>
      </c>
      <c r="E136" s="443"/>
      <c r="F136" s="331"/>
      <c r="G136" s="331" t="s">
        <v>49</v>
      </c>
      <c r="H136" s="383" t="s">
        <v>328</v>
      </c>
      <c r="I136" s="383" t="s">
        <v>316</v>
      </c>
      <c r="J136" s="402">
        <v>45109</v>
      </c>
      <c r="K136" s="402">
        <v>46205</v>
      </c>
      <c r="L136" s="457" t="s">
        <v>493</v>
      </c>
      <c r="M136" s="355"/>
      <c r="N136" s="355"/>
      <c r="O136" s="355"/>
      <c r="P136" s="458"/>
      <c r="Q136" s="355"/>
      <c r="R136" s="355"/>
      <c r="S136" s="355"/>
      <c r="T136" s="355"/>
      <c r="U136" s="355"/>
      <c r="V136" s="355"/>
      <c r="W136" s="355"/>
      <c r="X136" s="355"/>
      <c r="Y136" s="355"/>
      <c r="Z136" s="459">
        <f t="shared" si="53"/>
        <v>0</v>
      </c>
      <c r="AA136" s="451">
        <f t="shared" si="54"/>
        <v>0</v>
      </c>
      <c r="AB136" s="451">
        <f t="shared" si="55"/>
        <v>0</v>
      </c>
      <c r="AC136" s="450" t="e">
        <f t="shared" si="56"/>
        <v>#VALUE!</v>
      </c>
      <c r="AD136" s="450"/>
      <c r="AE136" s="450"/>
      <c r="AF136" s="450"/>
      <c r="AG136" s="450"/>
      <c r="AH136" s="331"/>
      <c r="AI136" s="334">
        <v>36</v>
      </c>
      <c r="AJ136" s="334" t="s">
        <v>1304</v>
      </c>
      <c r="AK136" s="334">
        <v>0</v>
      </c>
      <c r="AL136" s="334">
        <v>0</v>
      </c>
      <c r="AM136" s="334" t="s">
        <v>53</v>
      </c>
      <c r="AN136" s="334" t="s">
        <v>53</v>
      </c>
      <c r="AO136" s="334" t="s">
        <v>53</v>
      </c>
      <c r="AP136" s="334" t="s">
        <v>54</v>
      </c>
      <c r="AQ136" s="331"/>
      <c r="AR136" s="357"/>
      <c r="AS136" s="357"/>
      <c r="AT136" s="357"/>
      <c r="AU136" s="357"/>
      <c r="AV136" s="357"/>
      <c r="AW136" s="357"/>
      <c r="AX136" s="357"/>
      <c r="AY136" s="357"/>
      <c r="AZ136" s="357"/>
      <c r="BA136" s="357"/>
      <c r="BB136" s="357"/>
      <c r="BC136" s="357"/>
      <c r="BD136" s="358"/>
      <c r="BE136" s="357"/>
      <c r="BF136" s="357"/>
      <c r="BG136" s="357"/>
      <c r="BH136" s="357"/>
      <c r="BI136" s="357"/>
      <c r="BJ136" s="357"/>
      <c r="BK136" s="357"/>
      <c r="BL136" s="357"/>
      <c r="BM136" s="357"/>
      <c r="BN136" s="357"/>
      <c r="BO136" s="357"/>
      <c r="BP136" s="357"/>
      <c r="BQ136" s="390"/>
      <c r="BR136" s="357"/>
      <c r="BS136" s="357"/>
      <c r="BT136" s="357"/>
      <c r="BU136" s="357"/>
      <c r="BV136" s="357"/>
      <c r="BW136" s="357"/>
      <c r="BX136" s="357"/>
      <c r="BY136" s="357"/>
      <c r="BZ136" s="357"/>
      <c r="CA136" s="357"/>
      <c r="CB136" s="357"/>
      <c r="CC136" s="357"/>
      <c r="CD136" s="357"/>
      <c r="CE136" s="331"/>
      <c r="CF136" s="331"/>
      <c r="CG136" s="331"/>
      <c r="CH136" s="331"/>
      <c r="CI136" s="331"/>
      <c r="CJ136" s="331"/>
      <c r="CK136" s="331"/>
      <c r="CL136" s="331"/>
      <c r="CM136" s="331"/>
      <c r="CN136" s="331"/>
      <c r="CO136" s="331"/>
      <c r="CP136" s="331"/>
      <c r="CQ136" s="331"/>
      <c r="CR136" s="331"/>
      <c r="CS136" s="331"/>
      <c r="CT136" s="331"/>
      <c r="CU136" s="331"/>
      <c r="CV136" s="331"/>
      <c r="CW136" s="331"/>
      <c r="CX136" s="331"/>
      <c r="CY136" s="331"/>
      <c r="CZ136" s="331"/>
      <c r="DA136" s="331"/>
      <c r="DB136" s="331"/>
      <c r="DC136" s="331"/>
      <c r="DD136" s="331"/>
      <c r="DE136" s="1"/>
      <c r="DF136" s="1"/>
      <c r="DG136" s="1"/>
      <c r="DH136" s="1"/>
      <c r="DI136" s="1"/>
      <c r="DJ136" s="1"/>
      <c r="DK136" s="1"/>
      <c r="DL136" s="1"/>
      <c r="DM136" s="1"/>
      <c r="DN136" s="1"/>
      <c r="DO136" s="1"/>
      <c r="DP136" s="1"/>
      <c r="DQ136" s="1"/>
    </row>
    <row r="137" spans="1:121" x14ac:dyDescent="0.2">
      <c r="A137" s="830"/>
      <c r="B137" s="832"/>
      <c r="C137" s="830"/>
      <c r="D137" s="443" t="s">
        <v>1582</v>
      </c>
      <c r="E137" s="443"/>
      <c r="F137" s="331"/>
      <c r="G137" s="331" t="s">
        <v>49</v>
      </c>
      <c r="H137" s="383" t="s">
        <v>328</v>
      </c>
      <c r="I137" s="383" t="s">
        <v>316</v>
      </c>
      <c r="J137" s="402">
        <v>45109</v>
      </c>
      <c r="K137" s="402">
        <v>46205</v>
      </c>
      <c r="L137" s="457" t="s">
        <v>493</v>
      </c>
      <c r="M137" s="355"/>
      <c r="N137" s="355"/>
      <c r="O137" s="355"/>
      <c r="P137" s="458"/>
      <c r="Q137" s="355"/>
      <c r="R137" s="355"/>
      <c r="S137" s="355"/>
      <c r="T137" s="355"/>
      <c r="U137" s="355"/>
      <c r="V137" s="355"/>
      <c r="W137" s="355"/>
      <c r="X137" s="355"/>
      <c r="Y137" s="355"/>
      <c r="Z137" s="459">
        <f t="shared" si="53"/>
        <v>0</v>
      </c>
      <c r="AA137" s="451">
        <f t="shared" si="54"/>
        <v>0</v>
      </c>
      <c r="AB137" s="451">
        <f t="shared" si="55"/>
        <v>0</v>
      </c>
      <c r="AC137" s="450" t="e">
        <f t="shared" si="56"/>
        <v>#VALUE!</v>
      </c>
      <c r="AD137" s="450"/>
      <c r="AE137" s="450"/>
      <c r="AF137" s="450"/>
      <c r="AG137" s="450"/>
      <c r="AH137" s="331"/>
      <c r="AI137" s="334">
        <v>36</v>
      </c>
      <c r="AJ137" s="334" t="s">
        <v>1304</v>
      </c>
      <c r="AK137" s="334">
        <v>0</v>
      </c>
      <c r="AL137" s="334">
        <v>0</v>
      </c>
      <c r="AM137" s="334" t="s">
        <v>53</v>
      </c>
      <c r="AN137" s="334" t="s">
        <v>53</v>
      </c>
      <c r="AO137" s="334" t="s">
        <v>53</v>
      </c>
      <c r="AP137" s="334" t="s">
        <v>54</v>
      </c>
      <c r="AQ137" s="331"/>
      <c r="AR137" s="357"/>
      <c r="AS137" s="357"/>
      <c r="AT137" s="357"/>
      <c r="AU137" s="357"/>
      <c r="AV137" s="357"/>
      <c r="AW137" s="357"/>
      <c r="AX137" s="357"/>
      <c r="AY137" s="357"/>
      <c r="AZ137" s="357"/>
      <c r="BA137" s="357"/>
      <c r="BB137" s="357"/>
      <c r="BC137" s="357"/>
      <c r="BD137" s="358"/>
      <c r="BE137" s="357"/>
      <c r="BF137" s="357"/>
      <c r="BG137" s="357"/>
      <c r="BH137" s="357"/>
      <c r="BI137" s="357"/>
      <c r="BJ137" s="357"/>
      <c r="BK137" s="357"/>
      <c r="BL137" s="357"/>
      <c r="BM137" s="357"/>
      <c r="BN137" s="357"/>
      <c r="BO137" s="357"/>
      <c r="BP137" s="357"/>
      <c r="BQ137" s="390"/>
      <c r="BR137" s="357"/>
      <c r="BS137" s="357"/>
      <c r="BT137" s="357"/>
      <c r="BU137" s="357"/>
      <c r="BV137" s="357"/>
      <c r="BW137" s="357"/>
      <c r="BX137" s="357"/>
      <c r="BY137" s="357"/>
      <c r="BZ137" s="357"/>
      <c r="CA137" s="357"/>
      <c r="CB137" s="357"/>
      <c r="CC137" s="357"/>
      <c r="CD137" s="357"/>
      <c r="CE137" s="331"/>
      <c r="CF137" s="331"/>
      <c r="CG137" s="331"/>
      <c r="CH137" s="331"/>
      <c r="CI137" s="331"/>
      <c r="CJ137" s="331"/>
      <c r="CK137" s="331"/>
      <c r="CL137" s="331"/>
      <c r="CM137" s="331"/>
      <c r="CN137" s="331"/>
      <c r="CO137" s="331"/>
      <c r="CP137" s="331"/>
      <c r="CQ137" s="331"/>
      <c r="CR137" s="331"/>
      <c r="CS137" s="331"/>
      <c r="CT137" s="331"/>
      <c r="CU137" s="331"/>
      <c r="CV137" s="331"/>
      <c r="CW137" s="331"/>
      <c r="CX137" s="331"/>
      <c r="CY137" s="331"/>
      <c r="CZ137" s="331"/>
      <c r="DA137" s="331"/>
      <c r="DB137" s="331"/>
      <c r="DC137" s="331"/>
      <c r="DD137" s="331"/>
      <c r="DE137" s="1"/>
      <c r="DF137" s="1"/>
      <c r="DG137" s="1"/>
      <c r="DH137" s="1"/>
      <c r="DI137" s="1"/>
      <c r="DJ137" s="1"/>
      <c r="DK137" s="1"/>
      <c r="DL137" s="1"/>
      <c r="DM137" s="1"/>
      <c r="DN137" s="1"/>
      <c r="DO137" s="1"/>
      <c r="DP137" s="1"/>
      <c r="DQ137" s="1"/>
    </row>
    <row r="138" spans="1:121" x14ac:dyDescent="0.2">
      <c r="A138" s="830"/>
      <c r="B138" s="832"/>
      <c r="C138" s="830"/>
      <c r="D138" s="443" t="s">
        <v>1583</v>
      </c>
      <c r="E138" s="443"/>
      <c r="F138" s="331"/>
      <c r="G138" s="331" t="s">
        <v>49</v>
      </c>
      <c r="H138" s="383" t="s">
        <v>328</v>
      </c>
      <c r="I138" s="383" t="s">
        <v>316</v>
      </c>
      <c r="J138" s="402">
        <v>45109</v>
      </c>
      <c r="K138" s="402">
        <v>46205</v>
      </c>
      <c r="L138" s="457" t="s">
        <v>493</v>
      </c>
      <c r="M138" s="355"/>
      <c r="N138" s="355"/>
      <c r="O138" s="355"/>
      <c r="P138" s="458"/>
      <c r="Q138" s="355"/>
      <c r="R138" s="355"/>
      <c r="S138" s="355"/>
      <c r="T138" s="355"/>
      <c r="U138" s="355"/>
      <c r="V138" s="355"/>
      <c r="W138" s="355"/>
      <c r="X138" s="355"/>
      <c r="Y138" s="355"/>
      <c r="Z138" s="459">
        <f t="shared" si="53"/>
        <v>0</v>
      </c>
      <c r="AA138" s="451">
        <f t="shared" si="54"/>
        <v>0</v>
      </c>
      <c r="AB138" s="451">
        <f t="shared" si="55"/>
        <v>0</v>
      </c>
      <c r="AC138" s="450" t="e">
        <f t="shared" si="56"/>
        <v>#VALUE!</v>
      </c>
      <c r="AD138" s="450"/>
      <c r="AE138" s="450"/>
      <c r="AF138" s="450"/>
      <c r="AG138" s="450"/>
      <c r="AH138" s="331"/>
      <c r="AI138" s="334">
        <v>36</v>
      </c>
      <c r="AJ138" s="334" t="s">
        <v>1304</v>
      </c>
      <c r="AK138" s="334">
        <v>0</v>
      </c>
      <c r="AL138" s="334">
        <v>0</v>
      </c>
      <c r="AM138" s="334" t="s">
        <v>53</v>
      </c>
      <c r="AN138" s="334" t="s">
        <v>53</v>
      </c>
      <c r="AO138" s="334" t="s">
        <v>53</v>
      </c>
      <c r="AP138" s="334" t="s">
        <v>54</v>
      </c>
      <c r="AQ138" s="331"/>
      <c r="AR138" s="357"/>
      <c r="AS138" s="357"/>
      <c r="AT138" s="357"/>
      <c r="AU138" s="357"/>
      <c r="AV138" s="357"/>
      <c r="AW138" s="357"/>
      <c r="AX138" s="357"/>
      <c r="AY138" s="357"/>
      <c r="AZ138" s="357"/>
      <c r="BA138" s="357"/>
      <c r="BB138" s="357"/>
      <c r="BC138" s="357"/>
      <c r="BD138" s="358"/>
      <c r="BE138" s="357"/>
      <c r="BF138" s="357"/>
      <c r="BG138" s="357"/>
      <c r="BH138" s="357"/>
      <c r="BI138" s="357"/>
      <c r="BJ138" s="357"/>
      <c r="BK138" s="357"/>
      <c r="BL138" s="357"/>
      <c r="BM138" s="357"/>
      <c r="BN138" s="357"/>
      <c r="BO138" s="357"/>
      <c r="BP138" s="357"/>
      <c r="BQ138" s="390"/>
      <c r="BR138" s="357"/>
      <c r="BS138" s="357"/>
      <c r="BT138" s="357"/>
      <c r="BU138" s="357"/>
      <c r="BV138" s="357"/>
      <c r="BW138" s="357"/>
      <c r="BX138" s="357"/>
      <c r="BY138" s="357"/>
      <c r="BZ138" s="357"/>
      <c r="CA138" s="357"/>
      <c r="CB138" s="357"/>
      <c r="CC138" s="357"/>
      <c r="CD138" s="357"/>
      <c r="CE138" s="331"/>
      <c r="CF138" s="331"/>
      <c r="CG138" s="331"/>
      <c r="CH138" s="331"/>
      <c r="CI138" s="331"/>
      <c r="CJ138" s="331"/>
      <c r="CK138" s="331"/>
      <c r="CL138" s="331"/>
      <c r="CM138" s="331"/>
      <c r="CN138" s="331"/>
      <c r="CO138" s="331"/>
      <c r="CP138" s="331"/>
      <c r="CQ138" s="331"/>
      <c r="CR138" s="331"/>
      <c r="CS138" s="331"/>
      <c r="CT138" s="331"/>
      <c r="CU138" s="331"/>
      <c r="CV138" s="331"/>
      <c r="CW138" s="331"/>
      <c r="CX138" s="331"/>
      <c r="CY138" s="331"/>
      <c r="CZ138" s="331"/>
      <c r="DA138" s="331"/>
      <c r="DB138" s="331"/>
      <c r="DC138" s="331"/>
      <c r="DD138" s="331"/>
      <c r="DE138" s="1"/>
      <c r="DF138" s="1"/>
      <c r="DG138" s="1"/>
      <c r="DH138" s="1"/>
      <c r="DI138" s="1"/>
      <c r="DJ138" s="1"/>
      <c r="DK138" s="1"/>
      <c r="DL138" s="1"/>
      <c r="DM138" s="1"/>
      <c r="DN138" s="1"/>
      <c r="DO138" s="1"/>
      <c r="DP138" s="1"/>
      <c r="DQ138" s="1"/>
    </row>
    <row r="139" spans="1:121" x14ac:dyDescent="0.2">
      <c r="A139" s="830"/>
      <c r="B139" s="832"/>
      <c r="C139" s="830"/>
      <c r="D139" s="443" t="s">
        <v>301</v>
      </c>
      <c r="E139" s="443"/>
      <c r="F139" s="331"/>
      <c r="G139" s="331" t="s">
        <v>49</v>
      </c>
      <c r="H139" s="383" t="s">
        <v>328</v>
      </c>
      <c r="I139" s="383" t="s">
        <v>316</v>
      </c>
      <c r="J139" s="402">
        <v>45109</v>
      </c>
      <c r="K139" s="402">
        <v>46205</v>
      </c>
      <c r="L139" s="457" t="s">
        <v>493</v>
      </c>
      <c r="M139" s="355"/>
      <c r="N139" s="355"/>
      <c r="O139" s="355"/>
      <c r="P139" s="458"/>
      <c r="Q139" s="355"/>
      <c r="R139" s="355"/>
      <c r="S139" s="355"/>
      <c r="T139" s="355"/>
      <c r="U139" s="355"/>
      <c r="V139" s="355"/>
      <c r="W139" s="355"/>
      <c r="X139" s="355"/>
      <c r="Y139" s="355"/>
      <c r="Z139" s="459">
        <f t="shared" si="53"/>
        <v>0</v>
      </c>
      <c r="AA139" s="451">
        <f t="shared" si="54"/>
        <v>0</v>
      </c>
      <c r="AB139" s="451">
        <f t="shared" si="55"/>
        <v>0</v>
      </c>
      <c r="AC139" s="450" t="e">
        <f t="shared" si="56"/>
        <v>#VALUE!</v>
      </c>
      <c r="AD139" s="450"/>
      <c r="AE139" s="450"/>
      <c r="AF139" s="450"/>
      <c r="AG139" s="450"/>
      <c r="AH139" s="331"/>
      <c r="AI139" s="334">
        <v>36</v>
      </c>
      <c r="AJ139" s="334" t="s">
        <v>1304</v>
      </c>
      <c r="AK139" s="334">
        <v>0</v>
      </c>
      <c r="AL139" s="334">
        <v>0</v>
      </c>
      <c r="AM139" s="334" t="s">
        <v>53</v>
      </c>
      <c r="AN139" s="334" t="s">
        <v>53</v>
      </c>
      <c r="AO139" s="334" t="s">
        <v>53</v>
      </c>
      <c r="AP139" s="334" t="s">
        <v>54</v>
      </c>
      <c r="AQ139" s="331"/>
      <c r="AR139" s="357"/>
      <c r="AS139" s="357"/>
      <c r="AT139" s="357"/>
      <c r="AU139" s="357"/>
      <c r="AV139" s="357"/>
      <c r="AW139" s="357"/>
      <c r="AX139" s="357"/>
      <c r="AY139" s="357"/>
      <c r="AZ139" s="357"/>
      <c r="BA139" s="357"/>
      <c r="BB139" s="357"/>
      <c r="BC139" s="357"/>
      <c r="BD139" s="358"/>
      <c r="BE139" s="357"/>
      <c r="BF139" s="357"/>
      <c r="BG139" s="357"/>
      <c r="BH139" s="357"/>
      <c r="BI139" s="357"/>
      <c r="BJ139" s="357"/>
      <c r="BK139" s="357"/>
      <c r="BL139" s="357"/>
      <c r="BM139" s="357"/>
      <c r="BN139" s="357"/>
      <c r="BO139" s="357"/>
      <c r="BP139" s="357"/>
      <c r="BQ139" s="390"/>
      <c r="BR139" s="357"/>
      <c r="BS139" s="357"/>
      <c r="BT139" s="357"/>
      <c r="BU139" s="357"/>
      <c r="BV139" s="357"/>
      <c r="BW139" s="357"/>
      <c r="BX139" s="357"/>
      <c r="BY139" s="357"/>
      <c r="BZ139" s="357"/>
      <c r="CA139" s="357"/>
      <c r="CB139" s="357"/>
      <c r="CC139" s="357"/>
      <c r="CD139" s="357"/>
      <c r="CE139" s="331"/>
      <c r="CF139" s="331"/>
      <c r="CG139" s="331"/>
      <c r="CH139" s="331"/>
      <c r="CI139" s="331"/>
      <c r="CJ139" s="331"/>
      <c r="CK139" s="331"/>
      <c r="CL139" s="331"/>
      <c r="CM139" s="331"/>
      <c r="CN139" s="331"/>
      <c r="CO139" s="331"/>
      <c r="CP139" s="331"/>
      <c r="CQ139" s="331"/>
      <c r="CR139" s="331"/>
      <c r="CS139" s="331"/>
      <c r="CT139" s="331"/>
      <c r="CU139" s="331"/>
      <c r="CV139" s="331"/>
      <c r="CW139" s="331"/>
      <c r="CX139" s="331"/>
      <c r="CY139" s="331"/>
      <c r="CZ139" s="331"/>
      <c r="DA139" s="331"/>
      <c r="DB139" s="331"/>
      <c r="DC139" s="331"/>
      <c r="DD139" s="331"/>
      <c r="DE139" s="1"/>
      <c r="DF139" s="1"/>
      <c r="DG139" s="1"/>
      <c r="DH139" s="1"/>
      <c r="DI139" s="1"/>
      <c r="DJ139" s="1"/>
      <c r="DK139" s="1"/>
      <c r="DL139" s="1"/>
      <c r="DM139" s="1"/>
      <c r="DN139" s="1"/>
      <c r="DO139" s="1"/>
      <c r="DP139" s="1"/>
      <c r="DQ139" s="1"/>
    </row>
    <row r="140" spans="1:121" x14ac:dyDescent="0.2">
      <c r="A140" s="830"/>
      <c r="B140" s="832"/>
      <c r="C140" s="830"/>
      <c r="D140" s="443" t="s">
        <v>1584</v>
      </c>
      <c r="E140" s="443"/>
      <c r="F140" s="331"/>
      <c r="G140" s="331" t="s">
        <v>49</v>
      </c>
      <c r="H140" s="383" t="s">
        <v>328</v>
      </c>
      <c r="I140" s="383" t="s">
        <v>316</v>
      </c>
      <c r="J140" s="402">
        <v>45109</v>
      </c>
      <c r="K140" s="402">
        <v>46205</v>
      </c>
      <c r="L140" s="457" t="s">
        <v>493</v>
      </c>
      <c r="M140" s="355"/>
      <c r="N140" s="355"/>
      <c r="O140" s="355"/>
      <c r="P140" s="458"/>
      <c r="Q140" s="355"/>
      <c r="R140" s="355"/>
      <c r="S140" s="355"/>
      <c r="T140" s="355"/>
      <c r="U140" s="355"/>
      <c r="V140" s="355"/>
      <c r="W140" s="355"/>
      <c r="X140" s="355"/>
      <c r="Y140" s="355"/>
      <c r="Z140" s="459">
        <f t="shared" ref="Z140:Z189" si="57">X140</f>
        <v>0</v>
      </c>
      <c r="AA140" s="451">
        <f t="shared" si="54"/>
        <v>0</v>
      </c>
      <c r="AB140" s="451">
        <f t="shared" si="55"/>
        <v>0</v>
      </c>
      <c r="AC140" s="450" t="e">
        <f t="shared" si="56"/>
        <v>#VALUE!</v>
      </c>
      <c r="AD140" s="450"/>
      <c r="AE140" s="450"/>
      <c r="AF140" s="450"/>
      <c r="AG140" s="450"/>
      <c r="AH140" s="331"/>
      <c r="AI140" s="334">
        <v>36</v>
      </c>
      <c r="AJ140" s="334" t="s">
        <v>1304</v>
      </c>
      <c r="AK140" s="334">
        <v>0</v>
      </c>
      <c r="AL140" s="334">
        <v>0</v>
      </c>
      <c r="AM140" s="334" t="s">
        <v>53</v>
      </c>
      <c r="AN140" s="334" t="s">
        <v>53</v>
      </c>
      <c r="AO140" s="334" t="s">
        <v>53</v>
      </c>
      <c r="AP140" s="334" t="s">
        <v>54</v>
      </c>
      <c r="AQ140" s="331"/>
      <c r="AR140" s="357"/>
      <c r="AS140" s="357"/>
      <c r="AT140" s="357"/>
      <c r="AU140" s="357"/>
      <c r="AV140" s="357"/>
      <c r="AW140" s="357"/>
      <c r="AX140" s="357"/>
      <c r="AY140" s="357"/>
      <c r="AZ140" s="357"/>
      <c r="BA140" s="357"/>
      <c r="BB140" s="357"/>
      <c r="BC140" s="357"/>
      <c r="BD140" s="358"/>
      <c r="BE140" s="357"/>
      <c r="BF140" s="357"/>
      <c r="BG140" s="357"/>
      <c r="BH140" s="357"/>
      <c r="BI140" s="357"/>
      <c r="BJ140" s="357"/>
      <c r="BK140" s="357"/>
      <c r="BL140" s="357"/>
      <c r="BM140" s="357"/>
      <c r="BN140" s="357"/>
      <c r="BO140" s="357"/>
      <c r="BP140" s="357"/>
      <c r="BQ140" s="390"/>
      <c r="BR140" s="357"/>
      <c r="BS140" s="357"/>
      <c r="BT140" s="357"/>
      <c r="BU140" s="357"/>
      <c r="BV140" s="357"/>
      <c r="BW140" s="357"/>
      <c r="BX140" s="357"/>
      <c r="BY140" s="357"/>
      <c r="BZ140" s="357"/>
      <c r="CA140" s="357"/>
      <c r="CB140" s="357"/>
      <c r="CC140" s="357"/>
      <c r="CD140" s="357"/>
      <c r="CE140" s="331"/>
      <c r="CF140" s="331"/>
      <c r="CG140" s="331"/>
      <c r="CH140" s="331"/>
      <c r="CI140" s="331"/>
      <c r="CJ140" s="331"/>
      <c r="CK140" s="331"/>
      <c r="CL140" s="331"/>
      <c r="CM140" s="331"/>
      <c r="CN140" s="331"/>
      <c r="CO140" s="331"/>
      <c r="CP140" s="331"/>
      <c r="CQ140" s="331"/>
      <c r="CR140" s="331"/>
      <c r="CS140" s="331"/>
      <c r="CT140" s="331"/>
      <c r="CU140" s="331"/>
      <c r="CV140" s="331"/>
      <c r="CW140" s="331"/>
      <c r="CX140" s="331"/>
      <c r="CY140" s="331"/>
      <c r="CZ140" s="331"/>
      <c r="DA140" s="331"/>
      <c r="DB140" s="331"/>
      <c r="DC140" s="331"/>
      <c r="DD140" s="331"/>
      <c r="DE140" s="1"/>
      <c r="DF140" s="1"/>
      <c r="DG140" s="1"/>
      <c r="DH140" s="1"/>
      <c r="DI140" s="1"/>
      <c r="DJ140" s="1"/>
      <c r="DK140" s="1"/>
      <c r="DL140" s="1"/>
      <c r="DM140" s="1"/>
      <c r="DN140" s="1"/>
      <c r="DO140" s="1"/>
      <c r="DP140" s="1"/>
      <c r="DQ140" s="1"/>
    </row>
    <row r="141" spans="1:121" ht="24" x14ac:dyDescent="0.2">
      <c r="A141" s="830"/>
      <c r="B141" s="832"/>
      <c r="C141" s="830"/>
      <c r="D141" s="103" t="s">
        <v>176</v>
      </c>
      <c r="E141" s="531"/>
      <c r="F141" s="331"/>
      <c r="G141" s="331" t="s">
        <v>49</v>
      </c>
      <c r="H141" s="383" t="s">
        <v>328</v>
      </c>
      <c r="I141" s="383" t="s">
        <v>316</v>
      </c>
      <c r="J141" s="402">
        <v>45109</v>
      </c>
      <c r="K141" s="402">
        <v>46205</v>
      </c>
      <c r="L141" s="457" t="s">
        <v>493</v>
      </c>
      <c r="M141" s="355"/>
      <c r="N141" s="355"/>
      <c r="O141" s="355"/>
      <c r="P141" s="458"/>
      <c r="Q141" s="355"/>
      <c r="R141" s="355"/>
      <c r="S141" s="355"/>
      <c r="T141" s="355"/>
      <c r="U141" s="355"/>
      <c r="V141" s="355"/>
      <c r="W141" s="355"/>
      <c r="X141" s="355"/>
      <c r="Y141" s="355"/>
      <c r="Z141" s="459">
        <f t="shared" si="57"/>
        <v>0</v>
      </c>
      <c r="AA141" s="451">
        <f t="shared" si="54"/>
        <v>0</v>
      </c>
      <c r="AB141" s="451">
        <f t="shared" si="55"/>
        <v>0</v>
      </c>
      <c r="AC141" s="450" t="e">
        <f t="shared" si="56"/>
        <v>#VALUE!</v>
      </c>
      <c r="AD141" s="450"/>
      <c r="AE141" s="450"/>
      <c r="AF141" s="450"/>
      <c r="AG141" s="450"/>
      <c r="AH141" s="331"/>
      <c r="AI141" s="334">
        <v>36</v>
      </c>
      <c r="AJ141" s="334" t="s">
        <v>1304</v>
      </c>
      <c r="AK141" s="334">
        <v>0</v>
      </c>
      <c r="AL141" s="334">
        <v>0</v>
      </c>
      <c r="AM141" s="334" t="s">
        <v>53</v>
      </c>
      <c r="AN141" s="334" t="s">
        <v>53</v>
      </c>
      <c r="AO141" s="334" t="s">
        <v>53</v>
      </c>
      <c r="AP141" s="334" t="s">
        <v>54</v>
      </c>
      <c r="AQ141" s="331"/>
      <c r="AR141" s="357"/>
      <c r="AS141" s="357"/>
      <c r="AT141" s="357"/>
      <c r="AU141" s="357"/>
      <c r="AV141" s="357"/>
      <c r="AW141" s="357"/>
      <c r="AX141" s="357"/>
      <c r="AY141" s="357"/>
      <c r="AZ141" s="357"/>
      <c r="BA141" s="357"/>
      <c r="BB141" s="357"/>
      <c r="BC141" s="357"/>
      <c r="BD141" s="358"/>
      <c r="BE141" s="357"/>
      <c r="BF141" s="357"/>
      <c r="BG141" s="357"/>
      <c r="BH141" s="357"/>
      <c r="BI141" s="357"/>
      <c r="BJ141" s="357"/>
      <c r="BK141" s="357"/>
      <c r="BL141" s="357"/>
      <c r="BM141" s="357"/>
      <c r="BN141" s="357"/>
      <c r="BO141" s="357"/>
      <c r="BP141" s="357"/>
      <c r="BQ141" s="390"/>
      <c r="BR141" s="357"/>
      <c r="BS141" s="357"/>
      <c r="BT141" s="357"/>
      <c r="BU141" s="357"/>
      <c r="BV141" s="357"/>
      <c r="BW141" s="357"/>
      <c r="BX141" s="357"/>
      <c r="BY141" s="357"/>
      <c r="BZ141" s="357"/>
      <c r="CA141" s="357"/>
      <c r="CB141" s="357"/>
      <c r="CC141" s="357"/>
      <c r="CD141" s="357"/>
      <c r="CE141" s="331"/>
      <c r="CF141" s="331"/>
      <c r="CG141" s="331"/>
      <c r="CH141" s="331"/>
      <c r="CI141" s="331"/>
      <c r="CJ141" s="331"/>
      <c r="CK141" s="331"/>
      <c r="CL141" s="331"/>
      <c r="CM141" s="331"/>
      <c r="CN141" s="331"/>
      <c r="CO141" s="331"/>
      <c r="CP141" s="331"/>
      <c r="CQ141" s="331"/>
      <c r="CR141" s="331"/>
      <c r="CS141" s="331"/>
      <c r="CT141" s="331"/>
      <c r="CU141" s="331"/>
      <c r="CV141" s="331"/>
      <c r="CW141" s="331"/>
      <c r="CX141" s="331"/>
      <c r="CY141" s="331"/>
      <c r="CZ141" s="331"/>
      <c r="DA141" s="331"/>
      <c r="DB141" s="331"/>
      <c r="DC141" s="331"/>
      <c r="DD141" s="331"/>
      <c r="DE141" s="1"/>
      <c r="DF141" s="1"/>
      <c r="DG141" s="1"/>
      <c r="DH141" s="1"/>
      <c r="DI141" s="1"/>
      <c r="DJ141" s="1"/>
      <c r="DK141" s="1"/>
      <c r="DL141" s="1"/>
      <c r="DM141" s="1"/>
      <c r="DN141" s="1"/>
      <c r="DO141" s="1"/>
      <c r="DP141" s="1"/>
      <c r="DQ141" s="1"/>
    </row>
    <row r="142" spans="1:121" x14ac:dyDescent="0.2">
      <c r="A142" s="830"/>
      <c r="B142" s="832"/>
      <c r="C142" s="830"/>
      <c r="D142" s="103" t="s">
        <v>1510</v>
      </c>
      <c r="E142" s="531"/>
      <c r="F142" s="331"/>
      <c r="G142" s="331" t="s">
        <v>49</v>
      </c>
      <c r="H142" s="383" t="s">
        <v>328</v>
      </c>
      <c r="I142" s="383" t="s">
        <v>316</v>
      </c>
      <c r="J142" s="402">
        <v>45109</v>
      </c>
      <c r="K142" s="402">
        <v>46205</v>
      </c>
      <c r="L142" s="457" t="s">
        <v>493</v>
      </c>
      <c r="M142" s="355"/>
      <c r="N142" s="355"/>
      <c r="O142" s="355"/>
      <c r="P142" s="458"/>
      <c r="Q142" s="355"/>
      <c r="R142" s="355"/>
      <c r="S142" s="355"/>
      <c r="T142" s="355"/>
      <c r="U142" s="355"/>
      <c r="V142" s="355"/>
      <c r="W142" s="355"/>
      <c r="X142" s="355"/>
      <c r="Y142" s="355"/>
      <c r="Z142" s="459">
        <f t="shared" si="57"/>
        <v>0</v>
      </c>
      <c r="AA142" s="451">
        <f t="shared" si="54"/>
        <v>0</v>
      </c>
      <c r="AB142" s="451">
        <f t="shared" si="55"/>
        <v>0</v>
      </c>
      <c r="AC142" s="450" t="e">
        <f t="shared" si="56"/>
        <v>#VALUE!</v>
      </c>
      <c r="AD142" s="450"/>
      <c r="AE142" s="450"/>
      <c r="AF142" s="450"/>
      <c r="AG142" s="450"/>
      <c r="AH142" s="331"/>
      <c r="AI142" s="334">
        <v>36</v>
      </c>
      <c r="AJ142" s="334" t="s">
        <v>1304</v>
      </c>
      <c r="AK142" s="334">
        <v>0</v>
      </c>
      <c r="AL142" s="334">
        <v>0</v>
      </c>
      <c r="AM142" s="334" t="s">
        <v>53</v>
      </c>
      <c r="AN142" s="334" t="s">
        <v>53</v>
      </c>
      <c r="AO142" s="334" t="s">
        <v>53</v>
      </c>
      <c r="AP142" s="334" t="s">
        <v>54</v>
      </c>
      <c r="AQ142" s="331"/>
      <c r="AR142" s="357"/>
      <c r="AS142" s="357"/>
      <c r="AT142" s="357"/>
      <c r="AU142" s="357"/>
      <c r="AV142" s="357"/>
      <c r="AW142" s="357"/>
      <c r="AX142" s="357"/>
      <c r="AY142" s="357"/>
      <c r="AZ142" s="357"/>
      <c r="BA142" s="357"/>
      <c r="BB142" s="357"/>
      <c r="BC142" s="357"/>
      <c r="BD142" s="358"/>
      <c r="BE142" s="357"/>
      <c r="BF142" s="357"/>
      <c r="BG142" s="357"/>
      <c r="BH142" s="357"/>
      <c r="BI142" s="357"/>
      <c r="BJ142" s="357"/>
      <c r="BK142" s="357"/>
      <c r="BL142" s="357"/>
      <c r="BM142" s="357"/>
      <c r="BN142" s="357"/>
      <c r="BO142" s="357"/>
      <c r="BP142" s="357"/>
      <c r="BQ142" s="390"/>
      <c r="BR142" s="357"/>
      <c r="BS142" s="357"/>
      <c r="BT142" s="357"/>
      <c r="BU142" s="357"/>
      <c r="BV142" s="357"/>
      <c r="BW142" s="357"/>
      <c r="BX142" s="357"/>
      <c r="BY142" s="357"/>
      <c r="BZ142" s="357"/>
      <c r="CA142" s="357"/>
      <c r="CB142" s="357"/>
      <c r="CC142" s="357"/>
      <c r="CD142" s="357"/>
      <c r="CE142" s="331"/>
      <c r="CF142" s="331"/>
      <c r="CG142" s="331"/>
      <c r="CH142" s="331"/>
      <c r="CI142" s="331"/>
      <c r="CJ142" s="331"/>
      <c r="CK142" s="331"/>
      <c r="CL142" s="331"/>
      <c r="CM142" s="331"/>
      <c r="CN142" s="331"/>
      <c r="CO142" s="331"/>
      <c r="CP142" s="331"/>
      <c r="CQ142" s="331"/>
      <c r="CR142" s="331"/>
      <c r="CS142" s="331"/>
      <c r="CT142" s="331"/>
      <c r="CU142" s="331"/>
      <c r="CV142" s="331"/>
      <c r="CW142" s="331"/>
      <c r="CX142" s="331"/>
      <c r="CY142" s="331"/>
      <c r="CZ142" s="331"/>
      <c r="DA142" s="331"/>
      <c r="DB142" s="331"/>
      <c r="DC142" s="331"/>
      <c r="DD142" s="331"/>
      <c r="DE142" s="1"/>
      <c r="DF142" s="1"/>
      <c r="DG142" s="1"/>
      <c r="DH142" s="1"/>
      <c r="DI142" s="1"/>
      <c r="DJ142" s="1"/>
      <c r="DK142" s="1"/>
      <c r="DL142" s="1"/>
      <c r="DM142" s="1"/>
      <c r="DN142" s="1"/>
      <c r="DO142" s="1"/>
      <c r="DP142" s="1"/>
      <c r="DQ142" s="1"/>
    </row>
    <row r="143" spans="1:121" x14ac:dyDescent="0.2">
      <c r="A143" s="830"/>
      <c r="B143" s="832"/>
      <c r="C143" s="830"/>
      <c r="D143" s="103" t="s">
        <v>1585</v>
      </c>
      <c r="E143" s="443"/>
      <c r="F143" s="331"/>
      <c r="G143" s="331" t="s">
        <v>49</v>
      </c>
      <c r="H143" s="383" t="s">
        <v>328</v>
      </c>
      <c r="I143" s="383" t="s">
        <v>316</v>
      </c>
      <c r="J143" s="402">
        <v>45109</v>
      </c>
      <c r="K143" s="402">
        <v>46205</v>
      </c>
      <c r="L143" s="457" t="s">
        <v>493</v>
      </c>
      <c r="M143" s="355"/>
      <c r="N143" s="355"/>
      <c r="O143" s="355"/>
      <c r="P143" s="458"/>
      <c r="Q143" s="355"/>
      <c r="R143" s="355"/>
      <c r="S143" s="355"/>
      <c r="T143" s="355"/>
      <c r="U143" s="355"/>
      <c r="V143" s="355"/>
      <c r="W143" s="355"/>
      <c r="X143" s="355"/>
      <c r="Y143" s="355"/>
      <c r="Z143" s="459">
        <f t="shared" si="57"/>
        <v>0</v>
      </c>
      <c r="AA143" s="451">
        <f t="shared" si="54"/>
        <v>0</v>
      </c>
      <c r="AB143" s="451">
        <f t="shared" si="55"/>
        <v>0</v>
      </c>
      <c r="AC143" s="450" t="e">
        <f t="shared" si="56"/>
        <v>#VALUE!</v>
      </c>
      <c r="AD143" s="450"/>
      <c r="AE143" s="450"/>
      <c r="AF143" s="450"/>
      <c r="AG143" s="450"/>
      <c r="AH143" s="331"/>
      <c r="AI143" s="334">
        <v>36</v>
      </c>
      <c r="AJ143" s="334" t="s">
        <v>1304</v>
      </c>
      <c r="AK143" s="334">
        <v>0</v>
      </c>
      <c r="AL143" s="334">
        <v>0</v>
      </c>
      <c r="AM143" s="334" t="s">
        <v>53</v>
      </c>
      <c r="AN143" s="334" t="s">
        <v>53</v>
      </c>
      <c r="AO143" s="334" t="s">
        <v>53</v>
      </c>
      <c r="AP143" s="334" t="s">
        <v>54</v>
      </c>
      <c r="AQ143" s="331"/>
      <c r="AR143" s="357"/>
      <c r="AS143" s="357"/>
      <c r="AT143" s="357"/>
      <c r="AU143" s="357"/>
      <c r="AV143" s="357"/>
      <c r="AW143" s="357"/>
      <c r="AX143" s="357"/>
      <c r="AY143" s="357"/>
      <c r="AZ143" s="357"/>
      <c r="BA143" s="357"/>
      <c r="BB143" s="357"/>
      <c r="BC143" s="357"/>
      <c r="BD143" s="358"/>
      <c r="BE143" s="357"/>
      <c r="BF143" s="357"/>
      <c r="BG143" s="357"/>
      <c r="BH143" s="357"/>
      <c r="BI143" s="357"/>
      <c r="BJ143" s="357"/>
      <c r="BK143" s="357"/>
      <c r="BL143" s="357"/>
      <c r="BM143" s="357"/>
      <c r="BN143" s="357"/>
      <c r="BO143" s="357"/>
      <c r="BP143" s="357"/>
      <c r="BQ143" s="390"/>
      <c r="BR143" s="357"/>
      <c r="BS143" s="357"/>
      <c r="BT143" s="357"/>
      <c r="BU143" s="357"/>
      <c r="BV143" s="357"/>
      <c r="BW143" s="357"/>
      <c r="BX143" s="357"/>
      <c r="BY143" s="357"/>
      <c r="BZ143" s="357"/>
      <c r="CA143" s="357"/>
      <c r="CB143" s="357"/>
      <c r="CC143" s="357"/>
      <c r="CD143" s="357"/>
      <c r="CE143" s="331"/>
      <c r="CF143" s="331"/>
      <c r="CG143" s="331"/>
      <c r="CH143" s="331"/>
      <c r="CI143" s="331"/>
      <c r="CJ143" s="331"/>
      <c r="CK143" s="331"/>
      <c r="CL143" s="331"/>
      <c r="CM143" s="331"/>
      <c r="CN143" s="331"/>
      <c r="CO143" s="331"/>
      <c r="CP143" s="331"/>
      <c r="CQ143" s="331"/>
      <c r="CR143" s="331"/>
      <c r="CS143" s="331"/>
      <c r="CT143" s="331"/>
      <c r="CU143" s="331"/>
      <c r="CV143" s="331"/>
      <c r="CW143" s="331"/>
      <c r="CX143" s="331"/>
      <c r="CY143" s="331"/>
      <c r="CZ143" s="331"/>
      <c r="DA143" s="331"/>
      <c r="DB143" s="331"/>
      <c r="DC143" s="331"/>
      <c r="DD143" s="331"/>
      <c r="DE143" s="1"/>
      <c r="DF143" s="1"/>
      <c r="DG143" s="1"/>
      <c r="DH143" s="1"/>
      <c r="DI143" s="1"/>
      <c r="DJ143" s="1"/>
      <c r="DK143" s="1"/>
      <c r="DL143" s="1"/>
      <c r="DM143" s="1"/>
      <c r="DN143" s="1"/>
      <c r="DO143" s="1"/>
      <c r="DP143" s="1"/>
      <c r="DQ143" s="1"/>
    </row>
    <row r="144" spans="1:121" x14ac:dyDescent="0.2">
      <c r="A144" s="830"/>
      <c r="B144" s="832"/>
      <c r="C144" s="830"/>
      <c r="D144" s="103" t="s">
        <v>1586</v>
      </c>
      <c r="E144" s="443"/>
      <c r="F144" s="331"/>
      <c r="G144" s="331" t="s">
        <v>49</v>
      </c>
      <c r="H144" s="383" t="s">
        <v>328</v>
      </c>
      <c r="I144" s="383" t="s">
        <v>316</v>
      </c>
      <c r="J144" s="402">
        <v>45109</v>
      </c>
      <c r="K144" s="402">
        <v>46205</v>
      </c>
      <c r="L144" s="457" t="s">
        <v>493</v>
      </c>
      <c r="M144" s="355"/>
      <c r="N144" s="355"/>
      <c r="O144" s="355"/>
      <c r="P144" s="458"/>
      <c r="Q144" s="355"/>
      <c r="R144" s="355"/>
      <c r="S144" s="355"/>
      <c r="T144" s="355"/>
      <c r="U144" s="355"/>
      <c r="V144" s="355"/>
      <c r="W144" s="355"/>
      <c r="X144" s="355"/>
      <c r="Y144" s="355"/>
      <c r="Z144" s="459">
        <f t="shared" si="57"/>
        <v>0</v>
      </c>
      <c r="AA144" s="451">
        <f t="shared" si="54"/>
        <v>0</v>
      </c>
      <c r="AB144" s="451">
        <f t="shared" si="55"/>
        <v>0</v>
      </c>
      <c r="AC144" s="450" t="e">
        <f t="shared" si="56"/>
        <v>#VALUE!</v>
      </c>
      <c r="AD144" s="450"/>
      <c r="AE144" s="450"/>
      <c r="AF144" s="450"/>
      <c r="AG144" s="450"/>
      <c r="AH144" s="331"/>
      <c r="AI144" s="334">
        <v>36</v>
      </c>
      <c r="AJ144" s="334" t="s">
        <v>1304</v>
      </c>
      <c r="AK144" s="334">
        <v>0</v>
      </c>
      <c r="AL144" s="334">
        <v>0</v>
      </c>
      <c r="AM144" s="334" t="s">
        <v>53</v>
      </c>
      <c r="AN144" s="334" t="s">
        <v>53</v>
      </c>
      <c r="AO144" s="334" t="s">
        <v>53</v>
      </c>
      <c r="AP144" s="334" t="s">
        <v>54</v>
      </c>
      <c r="AQ144" s="331"/>
      <c r="AR144" s="357"/>
      <c r="AS144" s="357"/>
      <c r="AT144" s="357"/>
      <c r="AU144" s="357"/>
      <c r="AV144" s="357"/>
      <c r="AW144" s="357"/>
      <c r="AX144" s="357"/>
      <c r="AY144" s="357"/>
      <c r="AZ144" s="357"/>
      <c r="BA144" s="357"/>
      <c r="BB144" s="357"/>
      <c r="BC144" s="357"/>
      <c r="BD144" s="358"/>
      <c r="BE144" s="357"/>
      <c r="BF144" s="357"/>
      <c r="BG144" s="357"/>
      <c r="BH144" s="357"/>
      <c r="BI144" s="357"/>
      <c r="BJ144" s="357"/>
      <c r="BK144" s="357"/>
      <c r="BL144" s="357"/>
      <c r="BM144" s="357"/>
      <c r="BN144" s="357"/>
      <c r="BO144" s="357"/>
      <c r="BP144" s="357"/>
      <c r="BQ144" s="390"/>
      <c r="BR144" s="357"/>
      <c r="BS144" s="357"/>
      <c r="BT144" s="357"/>
      <c r="BU144" s="357"/>
      <c r="BV144" s="357"/>
      <c r="BW144" s="357"/>
      <c r="BX144" s="357"/>
      <c r="BY144" s="357"/>
      <c r="BZ144" s="357"/>
      <c r="CA144" s="357"/>
      <c r="CB144" s="357"/>
      <c r="CC144" s="357"/>
      <c r="CD144" s="357"/>
      <c r="CE144" s="331"/>
      <c r="CF144" s="331"/>
      <c r="CG144" s="331"/>
      <c r="CH144" s="331"/>
      <c r="CI144" s="331"/>
      <c r="CJ144" s="331"/>
      <c r="CK144" s="331"/>
      <c r="CL144" s="331"/>
      <c r="CM144" s="331"/>
      <c r="CN144" s="331"/>
      <c r="CO144" s="331"/>
      <c r="CP144" s="331"/>
      <c r="CQ144" s="331"/>
      <c r="CR144" s="331"/>
      <c r="CS144" s="331"/>
      <c r="CT144" s="331"/>
      <c r="CU144" s="331"/>
      <c r="CV144" s="331"/>
      <c r="CW144" s="331"/>
      <c r="CX144" s="331"/>
      <c r="CY144" s="331"/>
      <c r="CZ144" s="331"/>
      <c r="DA144" s="331"/>
      <c r="DB144" s="331"/>
      <c r="DC144" s="331"/>
      <c r="DD144" s="331"/>
      <c r="DE144" s="1"/>
      <c r="DF144" s="1"/>
      <c r="DG144" s="1"/>
      <c r="DH144" s="1"/>
      <c r="DI144" s="1"/>
      <c r="DJ144" s="1"/>
      <c r="DK144" s="1"/>
      <c r="DL144" s="1"/>
      <c r="DM144" s="1"/>
      <c r="DN144" s="1"/>
      <c r="DO144" s="1"/>
      <c r="DP144" s="1"/>
      <c r="DQ144" s="1"/>
    </row>
    <row r="145" spans="1:121" x14ac:dyDescent="0.2">
      <c r="A145" s="830"/>
      <c r="B145" s="832"/>
      <c r="C145" s="830"/>
      <c r="D145" s="103" t="s">
        <v>1587</v>
      </c>
      <c r="E145" s="531"/>
      <c r="F145" s="331"/>
      <c r="G145" s="331" t="s">
        <v>49</v>
      </c>
      <c r="H145" s="383" t="s">
        <v>328</v>
      </c>
      <c r="I145" s="383" t="s">
        <v>316</v>
      </c>
      <c r="J145" s="402">
        <v>45109</v>
      </c>
      <c r="K145" s="402">
        <v>46205</v>
      </c>
      <c r="L145" s="457" t="s">
        <v>493</v>
      </c>
      <c r="M145" s="355"/>
      <c r="N145" s="355"/>
      <c r="O145" s="355"/>
      <c r="P145" s="458"/>
      <c r="Q145" s="355"/>
      <c r="R145" s="355"/>
      <c r="S145" s="355"/>
      <c r="T145" s="355"/>
      <c r="U145" s="355"/>
      <c r="V145" s="355"/>
      <c r="W145" s="355"/>
      <c r="X145" s="355"/>
      <c r="Y145" s="355"/>
      <c r="Z145" s="459">
        <f t="shared" si="57"/>
        <v>0</v>
      </c>
      <c r="AA145" s="451">
        <f t="shared" si="54"/>
        <v>0</v>
      </c>
      <c r="AB145" s="451">
        <f t="shared" si="55"/>
        <v>0</v>
      </c>
      <c r="AC145" s="450" t="e">
        <f t="shared" si="56"/>
        <v>#VALUE!</v>
      </c>
      <c r="AD145" s="450"/>
      <c r="AE145" s="450"/>
      <c r="AF145" s="450"/>
      <c r="AG145" s="450"/>
      <c r="AH145" s="331"/>
      <c r="AI145" s="334">
        <v>36</v>
      </c>
      <c r="AJ145" s="334" t="s">
        <v>1304</v>
      </c>
      <c r="AK145" s="334">
        <v>0</v>
      </c>
      <c r="AL145" s="334">
        <v>0</v>
      </c>
      <c r="AM145" s="334" t="s">
        <v>53</v>
      </c>
      <c r="AN145" s="334" t="s">
        <v>53</v>
      </c>
      <c r="AO145" s="334" t="s">
        <v>53</v>
      </c>
      <c r="AP145" s="334" t="s">
        <v>54</v>
      </c>
      <c r="AQ145" s="331"/>
      <c r="AR145" s="357"/>
      <c r="AS145" s="357"/>
      <c r="AT145" s="357"/>
      <c r="AU145" s="357"/>
      <c r="AV145" s="357"/>
      <c r="AW145" s="357"/>
      <c r="AX145" s="357"/>
      <c r="AY145" s="357"/>
      <c r="AZ145" s="357"/>
      <c r="BA145" s="357"/>
      <c r="BB145" s="357"/>
      <c r="BC145" s="357"/>
      <c r="BD145" s="358"/>
      <c r="BE145" s="357"/>
      <c r="BF145" s="357"/>
      <c r="BG145" s="357"/>
      <c r="BH145" s="357"/>
      <c r="BI145" s="357"/>
      <c r="BJ145" s="357"/>
      <c r="BK145" s="357"/>
      <c r="BL145" s="357"/>
      <c r="BM145" s="357"/>
      <c r="BN145" s="357"/>
      <c r="BO145" s="357"/>
      <c r="BP145" s="357"/>
      <c r="BQ145" s="390"/>
      <c r="BR145" s="357"/>
      <c r="BS145" s="357"/>
      <c r="BT145" s="357"/>
      <c r="BU145" s="357"/>
      <c r="BV145" s="357"/>
      <c r="BW145" s="357"/>
      <c r="BX145" s="357"/>
      <c r="BY145" s="357"/>
      <c r="BZ145" s="357"/>
      <c r="CA145" s="357"/>
      <c r="CB145" s="357"/>
      <c r="CC145" s="357"/>
      <c r="CD145" s="357"/>
      <c r="CE145" s="331"/>
      <c r="CF145" s="331"/>
      <c r="CG145" s="331"/>
      <c r="CH145" s="331"/>
      <c r="CI145" s="331"/>
      <c r="CJ145" s="331"/>
      <c r="CK145" s="331"/>
      <c r="CL145" s="331"/>
      <c r="CM145" s="331"/>
      <c r="CN145" s="331"/>
      <c r="CO145" s="331"/>
      <c r="CP145" s="331"/>
      <c r="CQ145" s="331"/>
      <c r="CR145" s="331"/>
      <c r="CS145" s="331"/>
      <c r="CT145" s="331"/>
      <c r="CU145" s="331"/>
      <c r="CV145" s="331"/>
      <c r="CW145" s="331"/>
      <c r="CX145" s="331"/>
      <c r="CY145" s="331"/>
      <c r="CZ145" s="331"/>
      <c r="DA145" s="331"/>
      <c r="DB145" s="331"/>
      <c r="DC145" s="331"/>
      <c r="DD145" s="331"/>
      <c r="DE145" s="1"/>
      <c r="DF145" s="1"/>
      <c r="DG145" s="1"/>
      <c r="DH145" s="1"/>
      <c r="DI145" s="1"/>
      <c r="DJ145" s="1"/>
      <c r="DK145" s="1"/>
      <c r="DL145" s="1"/>
      <c r="DM145" s="1"/>
      <c r="DN145" s="1"/>
      <c r="DO145" s="1"/>
      <c r="DP145" s="1"/>
      <c r="DQ145" s="1"/>
    </row>
    <row r="146" spans="1:121" x14ac:dyDescent="0.2">
      <c r="A146" s="830"/>
      <c r="B146" s="832"/>
      <c r="C146" s="830"/>
      <c r="D146" s="103" t="s">
        <v>1588</v>
      </c>
      <c r="E146" s="443"/>
      <c r="F146" s="331"/>
      <c r="G146" s="331" t="s">
        <v>49</v>
      </c>
      <c r="H146" s="383" t="s">
        <v>328</v>
      </c>
      <c r="I146" s="383" t="s">
        <v>316</v>
      </c>
      <c r="J146" s="402">
        <v>45109</v>
      </c>
      <c r="K146" s="402">
        <v>46205</v>
      </c>
      <c r="L146" s="457" t="s">
        <v>493</v>
      </c>
      <c r="M146" s="355"/>
      <c r="N146" s="355"/>
      <c r="O146" s="355"/>
      <c r="P146" s="458"/>
      <c r="Q146" s="355"/>
      <c r="R146" s="355"/>
      <c r="S146" s="355"/>
      <c r="T146" s="355"/>
      <c r="U146" s="355"/>
      <c r="V146" s="355"/>
      <c r="W146" s="355"/>
      <c r="X146" s="355"/>
      <c r="Y146" s="355"/>
      <c r="Z146" s="459">
        <f t="shared" si="57"/>
        <v>0</v>
      </c>
      <c r="AA146" s="451">
        <f t="shared" si="54"/>
        <v>0</v>
      </c>
      <c r="AB146" s="451">
        <f t="shared" si="55"/>
        <v>0</v>
      </c>
      <c r="AC146" s="450" t="e">
        <f t="shared" si="56"/>
        <v>#VALUE!</v>
      </c>
      <c r="AD146" s="450"/>
      <c r="AE146" s="450"/>
      <c r="AF146" s="450"/>
      <c r="AG146" s="450"/>
      <c r="AH146" s="331"/>
      <c r="AI146" s="334">
        <v>36</v>
      </c>
      <c r="AJ146" s="334" t="s">
        <v>1304</v>
      </c>
      <c r="AK146" s="334">
        <v>0</v>
      </c>
      <c r="AL146" s="334">
        <v>0</v>
      </c>
      <c r="AM146" s="334" t="s">
        <v>53</v>
      </c>
      <c r="AN146" s="334" t="s">
        <v>53</v>
      </c>
      <c r="AO146" s="334" t="s">
        <v>53</v>
      </c>
      <c r="AP146" s="334" t="s">
        <v>54</v>
      </c>
      <c r="AQ146" s="331"/>
      <c r="AR146" s="357"/>
      <c r="AS146" s="357"/>
      <c r="AT146" s="357"/>
      <c r="AU146" s="357"/>
      <c r="AV146" s="357"/>
      <c r="AW146" s="357"/>
      <c r="AX146" s="357"/>
      <c r="AY146" s="357"/>
      <c r="AZ146" s="357"/>
      <c r="BA146" s="357"/>
      <c r="BB146" s="357"/>
      <c r="BC146" s="357"/>
      <c r="BD146" s="358"/>
      <c r="BE146" s="357"/>
      <c r="BF146" s="357"/>
      <c r="BG146" s="357"/>
      <c r="BH146" s="357"/>
      <c r="BI146" s="357"/>
      <c r="BJ146" s="357"/>
      <c r="BK146" s="357"/>
      <c r="BL146" s="357"/>
      <c r="BM146" s="357"/>
      <c r="BN146" s="357"/>
      <c r="BO146" s="357"/>
      <c r="BP146" s="357"/>
      <c r="BQ146" s="390"/>
      <c r="BR146" s="357"/>
      <c r="BS146" s="357"/>
      <c r="BT146" s="357"/>
      <c r="BU146" s="357"/>
      <c r="BV146" s="357"/>
      <c r="BW146" s="357"/>
      <c r="BX146" s="357"/>
      <c r="BY146" s="357"/>
      <c r="BZ146" s="357"/>
      <c r="CA146" s="357"/>
      <c r="CB146" s="357"/>
      <c r="CC146" s="357"/>
      <c r="CD146" s="357"/>
      <c r="CE146" s="331"/>
      <c r="CF146" s="331"/>
      <c r="CG146" s="331"/>
      <c r="CH146" s="331"/>
      <c r="CI146" s="331"/>
      <c r="CJ146" s="331"/>
      <c r="CK146" s="331"/>
      <c r="CL146" s="331"/>
      <c r="CM146" s="331"/>
      <c r="CN146" s="331"/>
      <c r="CO146" s="331"/>
      <c r="CP146" s="331"/>
      <c r="CQ146" s="331"/>
      <c r="CR146" s="331"/>
      <c r="CS146" s="331"/>
      <c r="CT146" s="331"/>
      <c r="CU146" s="331"/>
      <c r="CV146" s="331"/>
      <c r="CW146" s="331"/>
      <c r="CX146" s="331"/>
      <c r="CY146" s="331"/>
      <c r="CZ146" s="331"/>
      <c r="DA146" s="331"/>
      <c r="DB146" s="331"/>
      <c r="DC146" s="331"/>
      <c r="DD146" s="331"/>
      <c r="DE146" s="1"/>
      <c r="DF146" s="1"/>
      <c r="DG146" s="1"/>
      <c r="DH146" s="1"/>
      <c r="DI146" s="1"/>
      <c r="DJ146" s="1"/>
      <c r="DK146" s="1"/>
      <c r="DL146" s="1"/>
      <c r="DM146" s="1"/>
      <c r="DN146" s="1"/>
      <c r="DO146" s="1"/>
      <c r="DP146" s="1"/>
      <c r="DQ146" s="1"/>
    </row>
    <row r="147" spans="1:121" x14ac:dyDescent="0.2">
      <c r="A147" s="830"/>
      <c r="B147" s="832"/>
      <c r="C147" s="830"/>
      <c r="D147" s="103" t="s">
        <v>1589</v>
      </c>
      <c r="E147" s="443"/>
      <c r="F147" s="331"/>
      <c r="G147" s="331" t="s">
        <v>49</v>
      </c>
      <c r="H147" s="383" t="s">
        <v>328</v>
      </c>
      <c r="I147" s="383" t="s">
        <v>316</v>
      </c>
      <c r="J147" s="402">
        <v>45109</v>
      </c>
      <c r="K147" s="402">
        <v>46205</v>
      </c>
      <c r="L147" s="457" t="s">
        <v>493</v>
      </c>
      <c r="M147" s="355"/>
      <c r="N147" s="355"/>
      <c r="O147" s="355"/>
      <c r="P147" s="458"/>
      <c r="Q147" s="355"/>
      <c r="R147" s="355"/>
      <c r="S147" s="355"/>
      <c r="T147" s="355"/>
      <c r="U147" s="355"/>
      <c r="V147" s="355"/>
      <c r="W147" s="355"/>
      <c r="X147" s="355"/>
      <c r="Y147" s="355"/>
      <c r="Z147" s="459">
        <f t="shared" si="57"/>
        <v>0</v>
      </c>
      <c r="AA147" s="451">
        <f t="shared" si="54"/>
        <v>0</v>
      </c>
      <c r="AB147" s="451">
        <f t="shared" si="55"/>
        <v>0</v>
      </c>
      <c r="AC147" s="450" t="e">
        <f t="shared" si="56"/>
        <v>#VALUE!</v>
      </c>
      <c r="AD147" s="450"/>
      <c r="AE147" s="450"/>
      <c r="AF147" s="450"/>
      <c r="AG147" s="450"/>
      <c r="AH147" s="331"/>
      <c r="AI147" s="334">
        <v>36</v>
      </c>
      <c r="AJ147" s="334" t="s">
        <v>1304</v>
      </c>
      <c r="AK147" s="334">
        <v>0</v>
      </c>
      <c r="AL147" s="334">
        <v>0</v>
      </c>
      <c r="AM147" s="334" t="s">
        <v>53</v>
      </c>
      <c r="AN147" s="334" t="s">
        <v>53</v>
      </c>
      <c r="AO147" s="334" t="s">
        <v>53</v>
      </c>
      <c r="AP147" s="334" t="s">
        <v>54</v>
      </c>
      <c r="AQ147" s="331"/>
      <c r="AR147" s="357"/>
      <c r="AS147" s="357"/>
      <c r="AT147" s="357"/>
      <c r="AU147" s="357"/>
      <c r="AV147" s="357"/>
      <c r="AW147" s="357"/>
      <c r="AX147" s="357"/>
      <c r="AY147" s="357"/>
      <c r="AZ147" s="357"/>
      <c r="BA147" s="357"/>
      <c r="BB147" s="357"/>
      <c r="BC147" s="357"/>
      <c r="BD147" s="358"/>
      <c r="BE147" s="357"/>
      <c r="BF147" s="357"/>
      <c r="BG147" s="357"/>
      <c r="BH147" s="357"/>
      <c r="BI147" s="357"/>
      <c r="BJ147" s="357"/>
      <c r="BK147" s="357"/>
      <c r="BL147" s="357"/>
      <c r="BM147" s="357"/>
      <c r="BN147" s="357"/>
      <c r="BO147" s="357"/>
      <c r="BP147" s="357"/>
      <c r="BQ147" s="390"/>
      <c r="BR147" s="357"/>
      <c r="BS147" s="357"/>
      <c r="BT147" s="357"/>
      <c r="BU147" s="357"/>
      <c r="BV147" s="357"/>
      <c r="BW147" s="357"/>
      <c r="BX147" s="357"/>
      <c r="BY147" s="357"/>
      <c r="BZ147" s="357"/>
      <c r="CA147" s="357"/>
      <c r="CB147" s="357"/>
      <c r="CC147" s="357"/>
      <c r="CD147" s="357"/>
      <c r="CE147" s="331"/>
      <c r="CF147" s="331"/>
      <c r="CG147" s="331"/>
      <c r="CH147" s="331"/>
      <c r="CI147" s="331"/>
      <c r="CJ147" s="331"/>
      <c r="CK147" s="331"/>
      <c r="CL147" s="331"/>
      <c r="CM147" s="331"/>
      <c r="CN147" s="331"/>
      <c r="CO147" s="331"/>
      <c r="CP147" s="331"/>
      <c r="CQ147" s="331"/>
      <c r="CR147" s="331"/>
      <c r="CS147" s="331"/>
      <c r="CT147" s="331"/>
      <c r="CU147" s="331"/>
      <c r="CV147" s="331"/>
      <c r="CW147" s="331"/>
      <c r="CX147" s="331"/>
      <c r="CY147" s="331"/>
      <c r="CZ147" s="331"/>
      <c r="DA147" s="331"/>
      <c r="DB147" s="331"/>
      <c r="DC147" s="331"/>
      <c r="DD147" s="331"/>
      <c r="DE147" s="1"/>
      <c r="DF147" s="1"/>
      <c r="DG147" s="1"/>
      <c r="DH147" s="1"/>
      <c r="DI147" s="1"/>
      <c r="DJ147" s="1"/>
      <c r="DK147" s="1"/>
      <c r="DL147" s="1"/>
      <c r="DM147" s="1"/>
      <c r="DN147" s="1"/>
      <c r="DO147" s="1"/>
      <c r="DP147" s="1"/>
      <c r="DQ147" s="1"/>
    </row>
    <row r="148" spans="1:121" x14ac:dyDescent="0.2">
      <c r="A148" s="830"/>
      <c r="B148" s="832"/>
      <c r="C148" s="830"/>
      <c r="D148" s="103" t="s">
        <v>1590</v>
      </c>
      <c r="E148" s="443"/>
      <c r="F148" s="331"/>
      <c r="G148" s="331" t="s">
        <v>49</v>
      </c>
      <c r="H148" s="383" t="s">
        <v>328</v>
      </c>
      <c r="I148" s="383" t="s">
        <v>316</v>
      </c>
      <c r="J148" s="402">
        <v>45109</v>
      </c>
      <c r="K148" s="402">
        <v>46205</v>
      </c>
      <c r="L148" s="457" t="s">
        <v>493</v>
      </c>
      <c r="M148" s="355"/>
      <c r="N148" s="355"/>
      <c r="O148" s="355"/>
      <c r="P148" s="458"/>
      <c r="Q148" s="355"/>
      <c r="R148" s="355"/>
      <c r="S148" s="355"/>
      <c r="T148" s="355"/>
      <c r="U148" s="355"/>
      <c r="V148" s="355"/>
      <c r="W148" s="355"/>
      <c r="X148" s="355"/>
      <c r="Y148" s="355"/>
      <c r="Z148" s="459">
        <f t="shared" si="57"/>
        <v>0</v>
      </c>
      <c r="AA148" s="451">
        <f t="shared" si="54"/>
        <v>0</v>
      </c>
      <c r="AB148" s="451">
        <f t="shared" si="55"/>
        <v>0</v>
      </c>
      <c r="AC148" s="450" t="e">
        <f t="shared" si="56"/>
        <v>#VALUE!</v>
      </c>
      <c r="AD148" s="450"/>
      <c r="AE148" s="450"/>
      <c r="AF148" s="450"/>
      <c r="AG148" s="450"/>
      <c r="AH148" s="331"/>
      <c r="AI148" s="334">
        <v>36</v>
      </c>
      <c r="AJ148" s="334" t="s">
        <v>1304</v>
      </c>
      <c r="AK148" s="334">
        <v>0</v>
      </c>
      <c r="AL148" s="334">
        <v>0</v>
      </c>
      <c r="AM148" s="334" t="s">
        <v>53</v>
      </c>
      <c r="AN148" s="334" t="s">
        <v>53</v>
      </c>
      <c r="AO148" s="334" t="s">
        <v>53</v>
      </c>
      <c r="AP148" s="334" t="s">
        <v>54</v>
      </c>
      <c r="AQ148" s="331"/>
      <c r="AR148" s="357"/>
      <c r="AS148" s="357"/>
      <c r="AT148" s="357"/>
      <c r="AU148" s="357"/>
      <c r="AV148" s="357"/>
      <c r="AW148" s="357"/>
      <c r="AX148" s="357"/>
      <c r="AY148" s="357"/>
      <c r="AZ148" s="357"/>
      <c r="BA148" s="357"/>
      <c r="BB148" s="357"/>
      <c r="BC148" s="357"/>
      <c r="BD148" s="358"/>
      <c r="BE148" s="357"/>
      <c r="BF148" s="357"/>
      <c r="BG148" s="357"/>
      <c r="BH148" s="357"/>
      <c r="BI148" s="357"/>
      <c r="BJ148" s="357"/>
      <c r="BK148" s="357"/>
      <c r="BL148" s="357"/>
      <c r="BM148" s="357"/>
      <c r="BN148" s="357"/>
      <c r="BO148" s="357"/>
      <c r="BP148" s="357"/>
      <c r="BQ148" s="390"/>
      <c r="BR148" s="357"/>
      <c r="BS148" s="357"/>
      <c r="BT148" s="357"/>
      <c r="BU148" s="357"/>
      <c r="BV148" s="357"/>
      <c r="BW148" s="357"/>
      <c r="BX148" s="357"/>
      <c r="BY148" s="357"/>
      <c r="BZ148" s="357"/>
      <c r="CA148" s="357"/>
      <c r="CB148" s="357"/>
      <c r="CC148" s="357"/>
      <c r="CD148" s="357"/>
      <c r="CE148" s="331"/>
      <c r="CF148" s="331"/>
      <c r="CG148" s="331"/>
      <c r="CH148" s="331"/>
      <c r="CI148" s="331"/>
      <c r="CJ148" s="331"/>
      <c r="CK148" s="331"/>
      <c r="CL148" s="331"/>
      <c r="CM148" s="331"/>
      <c r="CN148" s="331"/>
      <c r="CO148" s="331"/>
      <c r="CP148" s="331"/>
      <c r="CQ148" s="331"/>
      <c r="CR148" s="331"/>
      <c r="CS148" s="331"/>
      <c r="CT148" s="331"/>
      <c r="CU148" s="331"/>
      <c r="CV148" s="331"/>
      <c r="CW148" s="331"/>
      <c r="CX148" s="331"/>
      <c r="CY148" s="331"/>
      <c r="CZ148" s="331"/>
      <c r="DA148" s="331"/>
      <c r="DB148" s="331"/>
      <c r="DC148" s="331"/>
      <c r="DD148" s="331"/>
      <c r="DE148" s="1"/>
      <c r="DF148" s="1"/>
      <c r="DG148" s="1"/>
      <c r="DH148" s="1"/>
      <c r="DI148" s="1"/>
      <c r="DJ148" s="1"/>
      <c r="DK148" s="1"/>
      <c r="DL148" s="1"/>
      <c r="DM148" s="1"/>
      <c r="DN148" s="1"/>
      <c r="DO148" s="1"/>
      <c r="DP148" s="1"/>
      <c r="DQ148" s="1"/>
    </row>
    <row r="149" spans="1:121" x14ac:dyDescent="0.2">
      <c r="A149" s="830"/>
      <c r="B149" s="832"/>
      <c r="C149" s="830"/>
      <c r="D149" s="103" t="s">
        <v>1591</v>
      </c>
      <c r="E149" s="443"/>
      <c r="F149" s="331"/>
      <c r="G149" s="331" t="s">
        <v>49</v>
      </c>
      <c r="H149" s="383" t="s">
        <v>328</v>
      </c>
      <c r="I149" s="383" t="s">
        <v>316</v>
      </c>
      <c r="J149" s="402">
        <v>45109</v>
      </c>
      <c r="K149" s="402">
        <v>46205</v>
      </c>
      <c r="L149" s="457" t="s">
        <v>493</v>
      </c>
      <c r="M149" s="355"/>
      <c r="N149" s="355"/>
      <c r="O149" s="355"/>
      <c r="P149" s="458"/>
      <c r="Q149" s="355"/>
      <c r="R149" s="355"/>
      <c r="S149" s="355"/>
      <c r="T149" s="355"/>
      <c r="U149" s="355"/>
      <c r="V149" s="355"/>
      <c r="W149" s="355"/>
      <c r="X149" s="355"/>
      <c r="Y149" s="355"/>
      <c r="Z149" s="459">
        <f t="shared" si="57"/>
        <v>0</v>
      </c>
      <c r="AA149" s="451">
        <f t="shared" si="54"/>
        <v>0</v>
      </c>
      <c r="AB149" s="451">
        <f t="shared" si="55"/>
        <v>0</v>
      </c>
      <c r="AC149" s="450" t="e">
        <f t="shared" si="56"/>
        <v>#VALUE!</v>
      </c>
      <c r="AD149" s="450"/>
      <c r="AE149" s="450"/>
      <c r="AF149" s="450"/>
      <c r="AG149" s="450"/>
      <c r="AH149" s="331"/>
      <c r="AI149" s="334">
        <v>36</v>
      </c>
      <c r="AJ149" s="334" t="s">
        <v>1304</v>
      </c>
      <c r="AK149" s="334">
        <v>0</v>
      </c>
      <c r="AL149" s="334">
        <v>0</v>
      </c>
      <c r="AM149" s="334" t="s">
        <v>53</v>
      </c>
      <c r="AN149" s="334" t="s">
        <v>53</v>
      </c>
      <c r="AO149" s="334" t="s">
        <v>53</v>
      </c>
      <c r="AP149" s="334" t="s">
        <v>54</v>
      </c>
      <c r="AQ149" s="331"/>
      <c r="AR149" s="357"/>
      <c r="AS149" s="357"/>
      <c r="AT149" s="357"/>
      <c r="AU149" s="357"/>
      <c r="AV149" s="357"/>
      <c r="AW149" s="357"/>
      <c r="AX149" s="357"/>
      <c r="AY149" s="357"/>
      <c r="AZ149" s="357"/>
      <c r="BA149" s="357"/>
      <c r="BB149" s="357"/>
      <c r="BC149" s="357"/>
      <c r="BD149" s="358"/>
      <c r="BE149" s="357"/>
      <c r="BF149" s="357"/>
      <c r="BG149" s="357"/>
      <c r="BH149" s="357"/>
      <c r="BI149" s="357"/>
      <c r="BJ149" s="357"/>
      <c r="BK149" s="357"/>
      <c r="BL149" s="357"/>
      <c r="BM149" s="357"/>
      <c r="BN149" s="357"/>
      <c r="BO149" s="357"/>
      <c r="BP149" s="357"/>
      <c r="BQ149" s="390"/>
      <c r="BR149" s="357"/>
      <c r="BS149" s="357"/>
      <c r="BT149" s="357"/>
      <c r="BU149" s="357"/>
      <c r="BV149" s="357"/>
      <c r="BW149" s="357"/>
      <c r="BX149" s="357"/>
      <c r="BY149" s="357"/>
      <c r="BZ149" s="357"/>
      <c r="CA149" s="357"/>
      <c r="CB149" s="357"/>
      <c r="CC149" s="357"/>
      <c r="CD149" s="357"/>
      <c r="CE149" s="331"/>
      <c r="CF149" s="331"/>
      <c r="CG149" s="331"/>
      <c r="CH149" s="331"/>
      <c r="CI149" s="331"/>
      <c r="CJ149" s="331"/>
      <c r="CK149" s="331"/>
      <c r="CL149" s="331"/>
      <c r="CM149" s="331"/>
      <c r="CN149" s="331"/>
      <c r="CO149" s="331"/>
      <c r="CP149" s="331"/>
      <c r="CQ149" s="331"/>
      <c r="CR149" s="331"/>
      <c r="CS149" s="331"/>
      <c r="CT149" s="331"/>
      <c r="CU149" s="331"/>
      <c r="CV149" s="331"/>
      <c r="CW149" s="331"/>
      <c r="CX149" s="331"/>
      <c r="CY149" s="331"/>
      <c r="CZ149" s="331"/>
      <c r="DA149" s="331"/>
      <c r="DB149" s="331"/>
      <c r="DC149" s="331"/>
      <c r="DD149" s="331"/>
      <c r="DE149" s="1"/>
      <c r="DF149" s="1"/>
      <c r="DG149" s="1"/>
      <c r="DH149" s="1"/>
      <c r="DI149" s="1"/>
      <c r="DJ149" s="1"/>
      <c r="DK149" s="1"/>
      <c r="DL149" s="1"/>
      <c r="DM149" s="1"/>
      <c r="DN149" s="1"/>
      <c r="DO149" s="1"/>
      <c r="DP149" s="1"/>
      <c r="DQ149" s="1"/>
    </row>
    <row r="150" spans="1:121" x14ac:dyDescent="0.2">
      <c r="A150" s="830"/>
      <c r="B150" s="832"/>
      <c r="C150" s="830"/>
      <c r="D150" s="103" t="s">
        <v>1592</v>
      </c>
      <c r="E150" s="443"/>
      <c r="F150" s="331"/>
      <c r="G150" s="331" t="s">
        <v>49</v>
      </c>
      <c r="H150" s="383" t="s">
        <v>328</v>
      </c>
      <c r="I150" s="383" t="s">
        <v>316</v>
      </c>
      <c r="J150" s="402">
        <v>45109</v>
      </c>
      <c r="K150" s="402">
        <v>46205</v>
      </c>
      <c r="L150" s="457" t="s">
        <v>493</v>
      </c>
      <c r="M150" s="355"/>
      <c r="N150" s="355"/>
      <c r="O150" s="355"/>
      <c r="P150" s="458"/>
      <c r="Q150" s="355"/>
      <c r="R150" s="355"/>
      <c r="S150" s="355"/>
      <c r="T150" s="355"/>
      <c r="U150" s="355"/>
      <c r="V150" s="355"/>
      <c r="W150" s="355"/>
      <c r="X150" s="355"/>
      <c r="Y150" s="355"/>
      <c r="Z150" s="459">
        <f t="shared" si="57"/>
        <v>0</v>
      </c>
      <c r="AA150" s="451">
        <f t="shared" si="54"/>
        <v>0</v>
      </c>
      <c r="AB150" s="451">
        <f t="shared" si="55"/>
        <v>0</v>
      </c>
      <c r="AC150" s="450" t="e">
        <f t="shared" si="56"/>
        <v>#VALUE!</v>
      </c>
      <c r="AD150" s="450"/>
      <c r="AE150" s="450"/>
      <c r="AF150" s="450"/>
      <c r="AG150" s="450"/>
      <c r="AH150" s="331"/>
      <c r="AI150" s="334">
        <v>36</v>
      </c>
      <c r="AJ150" s="334" t="s">
        <v>1304</v>
      </c>
      <c r="AK150" s="334">
        <v>0</v>
      </c>
      <c r="AL150" s="334">
        <v>0</v>
      </c>
      <c r="AM150" s="334" t="s">
        <v>53</v>
      </c>
      <c r="AN150" s="334" t="s">
        <v>53</v>
      </c>
      <c r="AO150" s="334" t="s">
        <v>53</v>
      </c>
      <c r="AP150" s="334" t="s">
        <v>54</v>
      </c>
      <c r="AQ150" s="331"/>
      <c r="AR150" s="357"/>
      <c r="AS150" s="357"/>
      <c r="AT150" s="357"/>
      <c r="AU150" s="357"/>
      <c r="AV150" s="357"/>
      <c r="AW150" s="357"/>
      <c r="AX150" s="357"/>
      <c r="AY150" s="357"/>
      <c r="AZ150" s="357"/>
      <c r="BA150" s="357"/>
      <c r="BB150" s="357"/>
      <c r="BC150" s="357"/>
      <c r="BD150" s="358"/>
      <c r="BE150" s="357"/>
      <c r="BF150" s="357"/>
      <c r="BG150" s="357"/>
      <c r="BH150" s="357"/>
      <c r="BI150" s="357"/>
      <c r="BJ150" s="357"/>
      <c r="BK150" s="357"/>
      <c r="BL150" s="357"/>
      <c r="BM150" s="357"/>
      <c r="BN150" s="357"/>
      <c r="BO150" s="357"/>
      <c r="BP150" s="357"/>
      <c r="BQ150" s="390"/>
      <c r="BR150" s="357"/>
      <c r="BS150" s="357"/>
      <c r="BT150" s="357"/>
      <c r="BU150" s="357"/>
      <c r="BV150" s="357"/>
      <c r="BW150" s="357"/>
      <c r="BX150" s="357"/>
      <c r="BY150" s="357"/>
      <c r="BZ150" s="357"/>
      <c r="CA150" s="357"/>
      <c r="CB150" s="357"/>
      <c r="CC150" s="357"/>
      <c r="CD150" s="357"/>
      <c r="CE150" s="331"/>
      <c r="CF150" s="331"/>
      <c r="CG150" s="331"/>
      <c r="CH150" s="331"/>
      <c r="CI150" s="331"/>
      <c r="CJ150" s="331"/>
      <c r="CK150" s="331"/>
      <c r="CL150" s="331"/>
      <c r="CM150" s="331"/>
      <c r="CN150" s="331"/>
      <c r="CO150" s="331"/>
      <c r="CP150" s="331"/>
      <c r="CQ150" s="331"/>
      <c r="CR150" s="331"/>
      <c r="CS150" s="331"/>
      <c r="CT150" s="331"/>
      <c r="CU150" s="331"/>
      <c r="CV150" s="331"/>
      <c r="CW150" s="331"/>
      <c r="CX150" s="331"/>
      <c r="CY150" s="331"/>
      <c r="CZ150" s="331"/>
      <c r="DA150" s="331"/>
      <c r="DB150" s="331"/>
      <c r="DC150" s="331"/>
      <c r="DD150" s="331"/>
      <c r="DE150" s="1"/>
      <c r="DF150" s="1"/>
      <c r="DG150" s="1"/>
      <c r="DH150" s="1"/>
      <c r="DI150" s="1"/>
      <c r="DJ150" s="1"/>
      <c r="DK150" s="1"/>
      <c r="DL150" s="1"/>
      <c r="DM150" s="1"/>
      <c r="DN150" s="1"/>
      <c r="DO150" s="1"/>
      <c r="DP150" s="1"/>
      <c r="DQ150" s="1"/>
    </row>
    <row r="151" spans="1:121" x14ac:dyDescent="0.2">
      <c r="A151" s="830"/>
      <c r="B151" s="832"/>
      <c r="C151" s="830"/>
      <c r="D151" s="103" t="s">
        <v>1593</v>
      </c>
      <c r="E151" s="443"/>
      <c r="F151" s="331"/>
      <c r="G151" s="331" t="s">
        <v>49</v>
      </c>
      <c r="H151" s="383" t="s">
        <v>328</v>
      </c>
      <c r="I151" s="383" t="s">
        <v>316</v>
      </c>
      <c r="J151" s="402">
        <v>45109</v>
      </c>
      <c r="K151" s="402">
        <v>46205</v>
      </c>
      <c r="L151" s="457" t="s">
        <v>493</v>
      </c>
      <c r="M151" s="355"/>
      <c r="N151" s="355"/>
      <c r="O151" s="355"/>
      <c r="P151" s="458"/>
      <c r="Q151" s="355"/>
      <c r="R151" s="355"/>
      <c r="S151" s="355"/>
      <c r="T151" s="355"/>
      <c r="U151" s="355"/>
      <c r="V151" s="355"/>
      <c r="W151" s="355"/>
      <c r="X151" s="355"/>
      <c r="Y151" s="355"/>
      <c r="Z151" s="459">
        <f t="shared" si="57"/>
        <v>0</v>
      </c>
      <c r="AA151" s="451">
        <f t="shared" si="54"/>
        <v>0</v>
      </c>
      <c r="AB151" s="451">
        <f t="shared" si="55"/>
        <v>0</v>
      </c>
      <c r="AC151" s="450" t="e">
        <f t="shared" si="56"/>
        <v>#VALUE!</v>
      </c>
      <c r="AD151" s="450"/>
      <c r="AE151" s="450"/>
      <c r="AF151" s="450"/>
      <c r="AG151" s="450"/>
      <c r="AH151" s="331"/>
      <c r="AI151" s="334">
        <v>36</v>
      </c>
      <c r="AJ151" s="334" t="s">
        <v>1304</v>
      </c>
      <c r="AK151" s="334">
        <v>0</v>
      </c>
      <c r="AL151" s="334">
        <v>0</v>
      </c>
      <c r="AM151" s="334" t="s">
        <v>53</v>
      </c>
      <c r="AN151" s="334" t="s">
        <v>53</v>
      </c>
      <c r="AO151" s="334" t="s">
        <v>53</v>
      </c>
      <c r="AP151" s="334" t="s">
        <v>54</v>
      </c>
      <c r="AQ151" s="331"/>
      <c r="AR151" s="357"/>
      <c r="AS151" s="357"/>
      <c r="AT151" s="357"/>
      <c r="AU151" s="357"/>
      <c r="AV151" s="357"/>
      <c r="AW151" s="357"/>
      <c r="AX151" s="357"/>
      <c r="AY151" s="357"/>
      <c r="AZ151" s="357"/>
      <c r="BA151" s="357"/>
      <c r="BB151" s="357"/>
      <c r="BC151" s="357"/>
      <c r="BD151" s="358"/>
      <c r="BE151" s="357"/>
      <c r="BF151" s="357"/>
      <c r="BG151" s="357"/>
      <c r="BH151" s="357"/>
      <c r="BI151" s="357"/>
      <c r="BJ151" s="357"/>
      <c r="BK151" s="357"/>
      <c r="BL151" s="357"/>
      <c r="BM151" s="357"/>
      <c r="BN151" s="357"/>
      <c r="BO151" s="357"/>
      <c r="BP151" s="357"/>
      <c r="BQ151" s="390"/>
      <c r="BR151" s="357"/>
      <c r="BS151" s="357"/>
      <c r="BT151" s="357"/>
      <c r="BU151" s="357"/>
      <c r="BV151" s="357"/>
      <c r="BW151" s="357"/>
      <c r="BX151" s="357"/>
      <c r="BY151" s="357"/>
      <c r="BZ151" s="357"/>
      <c r="CA151" s="357"/>
      <c r="CB151" s="357"/>
      <c r="CC151" s="357"/>
      <c r="CD151" s="357"/>
      <c r="CE151" s="331"/>
      <c r="CF151" s="331"/>
      <c r="CG151" s="331"/>
      <c r="CH151" s="331"/>
      <c r="CI151" s="331"/>
      <c r="CJ151" s="331"/>
      <c r="CK151" s="331"/>
      <c r="CL151" s="331"/>
      <c r="CM151" s="331"/>
      <c r="CN151" s="331"/>
      <c r="CO151" s="331"/>
      <c r="CP151" s="331"/>
      <c r="CQ151" s="331"/>
      <c r="CR151" s="331"/>
      <c r="CS151" s="331"/>
      <c r="CT151" s="331"/>
      <c r="CU151" s="331"/>
      <c r="CV151" s="331"/>
      <c r="CW151" s="331"/>
      <c r="CX151" s="331"/>
      <c r="CY151" s="331"/>
      <c r="CZ151" s="331"/>
      <c r="DA151" s="331"/>
      <c r="DB151" s="331"/>
      <c r="DC151" s="331"/>
      <c r="DD151" s="331"/>
      <c r="DE151" s="1"/>
      <c r="DF151" s="1"/>
      <c r="DG151" s="1"/>
      <c r="DH151" s="1"/>
      <c r="DI151" s="1"/>
      <c r="DJ151" s="1"/>
      <c r="DK151" s="1"/>
      <c r="DL151" s="1"/>
      <c r="DM151" s="1"/>
      <c r="DN151" s="1"/>
      <c r="DO151" s="1"/>
      <c r="DP151" s="1"/>
      <c r="DQ151" s="1"/>
    </row>
    <row r="152" spans="1:121" x14ac:dyDescent="0.2">
      <c r="A152" s="830"/>
      <c r="B152" s="832"/>
      <c r="C152" s="830"/>
      <c r="D152" s="103" t="s">
        <v>1594</v>
      </c>
      <c r="E152" s="531"/>
      <c r="F152" s="331"/>
      <c r="G152" s="331" t="s">
        <v>49</v>
      </c>
      <c r="H152" s="383" t="s">
        <v>328</v>
      </c>
      <c r="I152" s="383" t="s">
        <v>316</v>
      </c>
      <c r="J152" s="402">
        <v>45109</v>
      </c>
      <c r="K152" s="402">
        <v>46205</v>
      </c>
      <c r="L152" s="457" t="s">
        <v>493</v>
      </c>
      <c r="M152" s="355"/>
      <c r="N152" s="355"/>
      <c r="O152" s="355"/>
      <c r="P152" s="458"/>
      <c r="Q152" s="355"/>
      <c r="R152" s="355"/>
      <c r="S152" s="355"/>
      <c r="T152" s="355"/>
      <c r="U152" s="355"/>
      <c r="V152" s="355"/>
      <c r="W152" s="355"/>
      <c r="X152" s="355"/>
      <c r="Y152" s="355"/>
      <c r="Z152" s="459">
        <f t="shared" si="57"/>
        <v>0</v>
      </c>
      <c r="AA152" s="451">
        <f t="shared" si="54"/>
        <v>0</v>
      </c>
      <c r="AB152" s="451">
        <f t="shared" si="55"/>
        <v>0</v>
      </c>
      <c r="AC152" s="450" t="e">
        <f t="shared" si="56"/>
        <v>#VALUE!</v>
      </c>
      <c r="AD152" s="450"/>
      <c r="AE152" s="450"/>
      <c r="AF152" s="450"/>
      <c r="AG152" s="450"/>
      <c r="AH152" s="331"/>
      <c r="AI152" s="334">
        <v>36</v>
      </c>
      <c r="AJ152" s="334" t="s">
        <v>1304</v>
      </c>
      <c r="AK152" s="334">
        <v>0</v>
      </c>
      <c r="AL152" s="334">
        <v>0</v>
      </c>
      <c r="AM152" s="334" t="s">
        <v>53</v>
      </c>
      <c r="AN152" s="334" t="s">
        <v>53</v>
      </c>
      <c r="AO152" s="334" t="s">
        <v>53</v>
      </c>
      <c r="AP152" s="334" t="s">
        <v>54</v>
      </c>
      <c r="AQ152" s="331"/>
      <c r="AR152" s="357"/>
      <c r="AS152" s="357"/>
      <c r="AT152" s="357"/>
      <c r="AU152" s="357"/>
      <c r="AV152" s="357"/>
      <c r="AW152" s="357"/>
      <c r="AX152" s="357"/>
      <c r="AY152" s="357"/>
      <c r="AZ152" s="357"/>
      <c r="BA152" s="357"/>
      <c r="BB152" s="357"/>
      <c r="BC152" s="357"/>
      <c r="BD152" s="358"/>
      <c r="BE152" s="357"/>
      <c r="BF152" s="357"/>
      <c r="BG152" s="357"/>
      <c r="BH152" s="357"/>
      <c r="BI152" s="357"/>
      <c r="BJ152" s="357"/>
      <c r="BK152" s="357"/>
      <c r="BL152" s="357"/>
      <c r="BM152" s="357"/>
      <c r="BN152" s="357"/>
      <c r="BO152" s="357"/>
      <c r="BP152" s="357"/>
      <c r="BQ152" s="390"/>
      <c r="BR152" s="357"/>
      <c r="BS152" s="357"/>
      <c r="BT152" s="357"/>
      <c r="BU152" s="357"/>
      <c r="BV152" s="357"/>
      <c r="BW152" s="357"/>
      <c r="BX152" s="357"/>
      <c r="BY152" s="357"/>
      <c r="BZ152" s="357"/>
      <c r="CA152" s="357"/>
      <c r="CB152" s="357"/>
      <c r="CC152" s="357"/>
      <c r="CD152" s="357"/>
      <c r="CE152" s="331"/>
      <c r="CF152" s="331"/>
      <c r="CG152" s="331"/>
      <c r="CH152" s="331"/>
      <c r="CI152" s="331"/>
      <c r="CJ152" s="331"/>
      <c r="CK152" s="331"/>
      <c r="CL152" s="331"/>
      <c r="CM152" s="331"/>
      <c r="CN152" s="331"/>
      <c r="CO152" s="331"/>
      <c r="CP152" s="331"/>
      <c r="CQ152" s="331"/>
      <c r="CR152" s="331"/>
      <c r="CS152" s="331"/>
      <c r="CT152" s="331"/>
      <c r="CU152" s="331"/>
      <c r="CV152" s="331"/>
      <c r="CW152" s="331"/>
      <c r="CX152" s="331"/>
      <c r="CY152" s="331"/>
      <c r="CZ152" s="331"/>
      <c r="DA152" s="331"/>
      <c r="DB152" s="331"/>
      <c r="DC152" s="331"/>
      <c r="DD152" s="331"/>
      <c r="DE152" s="1"/>
      <c r="DF152" s="1"/>
      <c r="DG152" s="1"/>
      <c r="DH152" s="1"/>
      <c r="DI152" s="1"/>
      <c r="DJ152" s="1"/>
      <c r="DK152" s="1"/>
      <c r="DL152" s="1"/>
      <c r="DM152" s="1"/>
      <c r="DN152" s="1"/>
      <c r="DO152" s="1"/>
      <c r="DP152" s="1"/>
      <c r="DQ152" s="1"/>
    </row>
    <row r="153" spans="1:121" ht="24" x14ac:dyDescent="0.2">
      <c r="A153" s="830"/>
      <c r="B153" s="832"/>
      <c r="C153" s="830"/>
      <c r="D153" s="103" t="s">
        <v>1595</v>
      </c>
      <c r="E153" s="443"/>
      <c r="F153" s="331"/>
      <c r="G153" s="331" t="s">
        <v>49</v>
      </c>
      <c r="H153" s="383" t="s">
        <v>328</v>
      </c>
      <c r="I153" s="383" t="s">
        <v>316</v>
      </c>
      <c r="J153" s="402">
        <v>45109</v>
      </c>
      <c r="K153" s="402">
        <v>46205</v>
      </c>
      <c r="L153" s="457" t="s">
        <v>493</v>
      </c>
      <c r="M153" s="355"/>
      <c r="N153" s="355"/>
      <c r="O153" s="355"/>
      <c r="P153" s="458"/>
      <c r="Q153" s="355"/>
      <c r="R153" s="355"/>
      <c r="S153" s="355"/>
      <c r="T153" s="355"/>
      <c r="U153" s="355"/>
      <c r="V153" s="355"/>
      <c r="W153" s="355"/>
      <c r="X153" s="355"/>
      <c r="Y153" s="355"/>
      <c r="Z153" s="459">
        <f t="shared" si="57"/>
        <v>0</v>
      </c>
      <c r="AA153" s="451">
        <f t="shared" si="54"/>
        <v>0</v>
      </c>
      <c r="AB153" s="451">
        <f t="shared" si="55"/>
        <v>0</v>
      </c>
      <c r="AC153" s="450" t="e">
        <f t="shared" si="56"/>
        <v>#VALUE!</v>
      </c>
      <c r="AD153" s="450"/>
      <c r="AE153" s="450"/>
      <c r="AF153" s="450"/>
      <c r="AG153" s="450"/>
      <c r="AH153" s="331"/>
      <c r="AI153" s="334">
        <v>36</v>
      </c>
      <c r="AJ153" s="334" t="s">
        <v>1304</v>
      </c>
      <c r="AK153" s="334">
        <v>0</v>
      </c>
      <c r="AL153" s="334">
        <v>0</v>
      </c>
      <c r="AM153" s="334" t="s">
        <v>53</v>
      </c>
      <c r="AN153" s="334" t="s">
        <v>53</v>
      </c>
      <c r="AO153" s="334" t="s">
        <v>53</v>
      </c>
      <c r="AP153" s="334" t="s">
        <v>54</v>
      </c>
      <c r="AQ153" s="331"/>
      <c r="AR153" s="357"/>
      <c r="AS153" s="357"/>
      <c r="AT153" s="357"/>
      <c r="AU153" s="357"/>
      <c r="AV153" s="357"/>
      <c r="AW153" s="357"/>
      <c r="AX153" s="357"/>
      <c r="AY153" s="357"/>
      <c r="AZ153" s="357"/>
      <c r="BA153" s="357"/>
      <c r="BB153" s="357"/>
      <c r="BC153" s="357"/>
      <c r="BD153" s="358"/>
      <c r="BE153" s="357"/>
      <c r="BF153" s="357"/>
      <c r="BG153" s="357"/>
      <c r="BH153" s="357"/>
      <c r="BI153" s="357"/>
      <c r="BJ153" s="357"/>
      <c r="BK153" s="357"/>
      <c r="BL153" s="357"/>
      <c r="BM153" s="357"/>
      <c r="BN153" s="357"/>
      <c r="BO153" s="357"/>
      <c r="BP153" s="357"/>
      <c r="BQ153" s="390"/>
      <c r="BR153" s="357"/>
      <c r="BS153" s="357"/>
      <c r="BT153" s="357"/>
      <c r="BU153" s="357"/>
      <c r="BV153" s="357"/>
      <c r="BW153" s="357"/>
      <c r="BX153" s="357"/>
      <c r="BY153" s="357"/>
      <c r="BZ153" s="357"/>
      <c r="CA153" s="357"/>
      <c r="CB153" s="357"/>
      <c r="CC153" s="357"/>
      <c r="CD153" s="357"/>
      <c r="CE153" s="331"/>
      <c r="CF153" s="331"/>
      <c r="CG153" s="331"/>
      <c r="CH153" s="331"/>
      <c r="CI153" s="331"/>
      <c r="CJ153" s="331"/>
      <c r="CK153" s="331"/>
      <c r="CL153" s="331"/>
      <c r="CM153" s="331"/>
      <c r="CN153" s="331"/>
      <c r="CO153" s="331"/>
      <c r="CP153" s="331"/>
      <c r="CQ153" s="331"/>
      <c r="CR153" s="331"/>
      <c r="CS153" s="331"/>
      <c r="CT153" s="331"/>
      <c r="CU153" s="331"/>
      <c r="CV153" s="331"/>
      <c r="CW153" s="331"/>
      <c r="CX153" s="331"/>
      <c r="CY153" s="331"/>
      <c r="CZ153" s="331"/>
      <c r="DA153" s="331"/>
      <c r="DB153" s="331"/>
      <c r="DC153" s="331"/>
      <c r="DD153" s="331"/>
      <c r="DE153" s="1"/>
      <c r="DF153" s="1"/>
      <c r="DG153" s="1"/>
      <c r="DH153" s="1"/>
      <c r="DI153" s="1"/>
      <c r="DJ153" s="1"/>
      <c r="DK153" s="1"/>
      <c r="DL153" s="1"/>
      <c r="DM153" s="1"/>
      <c r="DN153" s="1"/>
      <c r="DO153" s="1"/>
      <c r="DP153" s="1"/>
      <c r="DQ153" s="1"/>
    </row>
    <row r="154" spans="1:121" x14ac:dyDescent="0.2">
      <c r="A154" s="830"/>
      <c r="B154" s="832"/>
      <c r="C154" s="830"/>
      <c r="D154" s="103" t="s">
        <v>1596</v>
      </c>
      <c r="E154" s="531"/>
      <c r="F154" s="331"/>
      <c r="G154" s="331" t="s">
        <v>49</v>
      </c>
      <c r="H154" s="383" t="s">
        <v>328</v>
      </c>
      <c r="I154" s="383" t="s">
        <v>316</v>
      </c>
      <c r="J154" s="402">
        <v>45109</v>
      </c>
      <c r="K154" s="402">
        <v>46205</v>
      </c>
      <c r="L154" s="457" t="s">
        <v>493</v>
      </c>
      <c r="M154" s="355"/>
      <c r="N154" s="355"/>
      <c r="O154" s="355"/>
      <c r="P154" s="458"/>
      <c r="Q154" s="355"/>
      <c r="R154" s="355"/>
      <c r="S154" s="355"/>
      <c r="T154" s="355"/>
      <c r="U154" s="355"/>
      <c r="V154" s="355"/>
      <c r="W154" s="355"/>
      <c r="X154" s="355"/>
      <c r="Y154" s="355"/>
      <c r="Z154" s="459">
        <f t="shared" si="57"/>
        <v>0</v>
      </c>
      <c r="AA154" s="451">
        <f t="shared" si="54"/>
        <v>0</v>
      </c>
      <c r="AB154" s="451">
        <f t="shared" si="55"/>
        <v>0</v>
      </c>
      <c r="AC154" s="450" t="e">
        <f t="shared" si="56"/>
        <v>#VALUE!</v>
      </c>
      <c r="AD154" s="450"/>
      <c r="AE154" s="450"/>
      <c r="AF154" s="450"/>
      <c r="AG154" s="450"/>
      <c r="AH154" s="331"/>
      <c r="AI154" s="334">
        <v>36</v>
      </c>
      <c r="AJ154" s="334" t="s">
        <v>1304</v>
      </c>
      <c r="AK154" s="334">
        <v>0</v>
      </c>
      <c r="AL154" s="334">
        <v>0</v>
      </c>
      <c r="AM154" s="334" t="s">
        <v>53</v>
      </c>
      <c r="AN154" s="334" t="s">
        <v>53</v>
      </c>
      <c r="AO154" s="334" t="s">
        <v>53</v>
      </c>
      <c r="AP154" s="334" t="s">
        <v>54</v>
      </c>
      <c r="AQ154" s="331"/>
      <c r="AR154" s="357"/>
      <c r="AS154" s="357"/>
      <c r="AT154" s="357"/>
      <c r="AU154" s="357"/>
      <c r="AV154" s="357"/>
      <c r="AW154" s="357"/>
      <c r="AX154" s="357"/>
      <c r="AY154" s="357"/>
      <c r="AZ154" s="357"/>
      <c r="BA154" s="357"/>
      <c r="BB154" s="357"/>
      <c r="BC154" s="357"/>
      <c r="BD154" s="358"/>
      <c r="BE154" s="357"/>
      <c r="BF154" s="357"/>
      <c r="BG154" s="357"/>
      <c r="BH154" s="357"/>
      <c r="BI154" s="357"/>
      <c r="BJ154" s="357"/>
      <c r="BK154" s="357"/>
      <c r="BL154" s="357"/>
      <c r="BM154" s="357"/>
      <c r="BN154" s="357"/>
      <c r="BO154" s="357"/>
      <c r="BP154" s="357"/>
      <c r="BQ154" s="390"/>
      <c r="BR154" s="357"/>
      <c r="BS154" s="357"/>
      <c r="BT154" s="357"/>
      <c r="BU154" s="357"/>
      <c r="BV154" s="357"/>
      <c r="BW154" s="357"/>
      <c r="BX154" s="357"/>
      <c r="BY154" s="357"/>
      <c r="BZ154" s="357"/>
      <c r="CA154" s="357"/>
      <c r="CB154" s="357"/>
      <c r="CC154" s="357"/>
      <c r="CD154" s="357"/>
      <c r="CE154" s="331"/>
      <c r="CF154" s="331"/>
      <c r="CG154" s="331"/>
      <c r="CH154" s="331"/>
      <c r="CI154" s="331"/>
      <c r="CJ154" s="331"/>
      <c r="CK154" s="331"/>
      <c r="CL154" s="331"/>
      <c r="CM154" s="331"/>
      <c r="CN154" s="331"/>
      <c r="CO154" s="331"/>
      <c r="CP154" s="331"/>
      <c r="CQ154" s="331"/>
      <c r="CR154" s="331"/>
      <c r="CS154" s="331"/>
      <c r="CT154" s="331"/>
      <c r="CU154" s="331"/>
      <c r="CV154" s="331"/>
      <c r="CW154" s="331"/>
      <c r="CX154" s="331"/>
      <c r="CY154" s="331"/>
      <c r="CZ154" s="331"/>
      <c r="DA154" s="331"/>
      <c r="DB154" s="331"/>
      <c r="DC154" s="331"/>
      <c r="DD154" s="331"/>
      <c r="DE154" s="1"/>
      <c r="DF154" s="1"/>
      <c r="DG154" s="1"/>
      <c r="DH154" s="1"/>
      <c r="DI154" s="1"/>
      <c r="DJ154" s="1"/>
      <c r="DK154" s="1"/>
      <c r="DL154" s="1"/>
      <c r="DM154" s="1"/>
      <c r="DN154" s="1"/>
      <c r="DO154" s="1"/>
      <c r="DP154" s="1"/>
      <c r="DQ154" s="1"/>
    </row>
    <row r="155" spans="1:121" x14ac:dyDescent="0.2">
      <c r="A155" s="830"/>
      <c r="B155" s="832"/>
      <c r="C155" s="830"/>
      <c r="D155" s="103" t="s">
        <v>1497</v>
      </c>
      <c r="E155" s="443"/>
      <c r="F155" s="331"/>
      <c r="G155" s="331" t="s">
        <v>49</v>
      </c>
      <c r="H155" s="383" t="s">
        <v>328</v>
      </c>
      <c r="I155" s="383" t="s">
        <v>316</v>
      </c>
      <c r="J155" s="402">
        <v>45109</v>
      </c>
      <c r="K155" s="402">
        <v>46205</v>
      </c>
      <c r="L155" s="457" t="s">
        <v>493</v>
      </c>
      <c r="M155" s="355"/>
      <c r="N155" s="355"/>
      <c r="O155" s="355"/>
      <c r="P155" s="458"/>
      <c r="Q155" s="355"/>
      <c r="R155" s="355"/>
      <c r="S155" s="355"/>
      <c r="T155" s="355"/>
      <c r="U155" s="355"/>
      <c r="V155" s="355"/>
      <c r="W155" s="355"/>
      <c r="X155" s="355"/>
      <c r="Y155" s="355"/>
      <c r="Z155" s="459">
        <f t="shared" si="57"/>
        <v>0</v>
      </c>
      <c r="AA155" s="451">
        <f t="shared" si="54"/>
        <v>0</v>
      </c>
      <c r="AB155" s="451">
        <f t="shared" si="55"/>
        <v>0</v>
      </c>
      <c r="AC155" s="450" t="e">
        <f t="shared" si="56"/>
        <v>#VALUE!</v>
      </c>
      <c r="AD155" s="450"/>
      <c r="AE155" s="450"/>
      <c r="AF155" s="450"/>
      <c r="AG155" s="450"/>
      <c r="AH155" s="331"/>
      <c r="AI155" s="334">
        <v>36</v>
      </c>
      <c r="AJ155" s="334" t="s">
        <v>1304</v>
      </c>
      <c r="AK155" s="334">
        <v>0</v>
      </c>
      <c r="AL155" s="334">
        <v>0</v>
      </c>
      <c r="AM155" s="334" t="s">
        <v>53</v>
      </c>
      <c r="AN155" s="334" t="s">
        <v>53</v>
      </c>
      <c r="AO155" s="334" t="s">
        <v>53</v>
      </c>
      <c r="AP155" s="334" t="s">
        <v>54</v>
      </c>
      <c r="AQ155" s="331"/>
      <c r="AR155" s="357"/>
      <c r="AS155" s="357"/>
      <c r="AT155" s="357"/>
      <c r="AU155" s="357"/>
      <c r="AV155" s="357"/>
      <c r="AW155" s="357"/>
      <c r="AX155" s="357"/>
      <c r="AY155" s="357"/>
      <c r="AZ155" s="357"/>
      <c r="BA155" s="357"/>
      <c r="BB155" s="357"/>
      <c r="BC155" s="357"/>
      <c r="BD155" s="358"/>
      <c r="BE155" s="357"/>
      <c r="BF155" s="357"/>
      <c r="BG155" s="357"/>
      <c r="BH155" s="357"/>
      <c r="BI155" s="357"/>
      <c r="BJ155" s="357"/>
      <c r="BK155" s="357"/>
      <c r="BL155" s="357"/>
      <c r="BM155" s="357"/>
      <c r="BN155" s="357"/>
      <c r="BO155" s="357"/>
      <c r="BP155" s="357"/>
      <c r="BQ155" s="390"/>
      <c r="BR155" s="357"/>
      <c r="BS155" s="357"/>
      <c r="BT155" s="357"/>
      <c r="BU155" s="357"/>
      <c r="BV155" s="357"/>
      <c r="BW155" s="357"/>
      <c r="BX155" s="357"/>
      <c r="BY155" s="357"/>
      <c r="BZ155" s="357"/>
      <c r="CA155" s="357"/>
      <c r="CB155" s="357"/>
      <c r="CC155" s="357"/>
      <c r="CD155" s="357"/>
      <c r="CE155" s="331"/>
      <c r="CF155" s="331"/>
      <c r="CG155" s="331"/>
      <c r="CH155" s="331"/>
      <c r="CI155" s="331"/>
      <c r="CJ155" s="331"/>
      <c r="CK155" s="331"/>
      <c r="CL155" s="331"/>
      <c r="CM155" s="331"/>
      <c r="CN155" s="331"/>
      <c r="CO155" s="331"/>
      <c r="CP155" s="331"/>
      <c r="CQ155" s="331"/>
      <c r="CR155" s="331"/>
      <c r="CS155" s="331"/>
      <c r="CT155" s="331"/>
      <c r="CU155" s="331"/>
      <c r="CV155" s="331"/>
      <c r="CW155" s="331"/>
      <c r="CX155" s="331"/>
      <c r="CY155" s="331"/>
      <c r="CZ155" s="331"/>
      <c r="DA155" s="331"/>
      <c r="DB155" s="331"/>
      <c r="DC155" s="331"/>
      <c r="DD155" s="331"/>
      <c r="DE155" s="1"/>
      <c r="DF155" s="1"/>
      <c r="DG155" s="1"/>
      <c r="DH155" s="1"/>
      <c r="DI155" s="1"/>
      <c r="DJ155" s="1"/>
      <c r="DK155" s="1"/>
      <c r="DL155" s="1"/>
      <c r="DM155" s="1"/>
      <c r="DN155" s="1"/>
      <c r="DO155" s="1"/>
      <c r="DP155" s="1"/>
      <c r="DQ155" s="1"/>
    </row>
    <row r="156" spans="1:121" x14ac:dyDescent="0.2">
      <c r="A156" s="830"/>
      <c r="B156" s="832"/>
      <c r="C156" s="830"/>
      <c r="D156" s="103" t="s">
        <v>1597</v>
      </c>
      <c r="E156" s="443"/>
      <c r="F156" s="331"/>
      <c r="G156" s="331" t="s">
        <v>49</v>
      </c>
      <c r="H156" s="383" t="s">
        <v>328</v>
      </c>
      <c r="I156" s="383" t="s">
        <v>316</v>
      </c>
      <c r="J156" s="402">
        <v>45109</v>
      </c>
      <c r="K156" s="402">
        <v>46205</v>
      </c>
      <c r="L156" s="457" t="s">
        <v>493</v>
      </c>
      <c r="M156" s="355"/>
      <c r="N156" s="355"/>
      <c r="O156" s="355"/>
      <c r="P156" s="458"/>
      <c r="Q156" s="355"/>
      <c r="R156" s="355"/>
      <c r="S156" s="355"/>
      <c r="T156" s="355"/>
      <c r="U156" s="355"/>
      <c r="V156" s="355"/>
      <c r="W156" s="355"/>
      <c r="X156" s="355"/>
      <c r="Y156" s="355"/>
      <c r="Z156" s="459">
        <f t="shared" si="57"/>
        <v>0</v>
      </c>
      <c r="AA156" s="451">
        <f t="shared" si="54"/>
        <v>0</v>
      </c>
      <c r="AB156" s="451">
        <f t="shared" si="55"/>
        <v>0</v>
      </c>
      <c r="AC156" s="450" t="e">
        <f t="shared" si="56"/>
        <v>#VALUE!</v>
      </c>
      <c r="AD156" s="450"/>
      <c r="AE156" s="450"/>
      <c r="AF156" s="450"/>
      <c r="AG156" s="450"/>
      <c r="AH156" s="331"/>
      <c r="AI156" s="334">
        <v>36</v>
      </c>
      <c r="AJ156" s="334" t="s">
        <v>1304</v>
      </c>
      <c r="AK156" s="334">
        <v>0</v>
      </c>
      <c r="AL156" s="334">
        <v>0</v>
      </c>
      <c r="AM156" s="334" t="s">
        <v>53</v>
      </c>
      <c r="AN156" s="334" t="s">
        <v>53</v>
      </c>
      <c r="AO156" s="334" t="s">
        <v>53</v>
      </c>
      <c r="AP156" s="334" t="s">
        <v>54</v>
      </c>
      <c r="AQ156" s="331"/>
      <c r="AR156" s="357"/>
      <c r="AS156" s="357"/>
      <c r="AT156" s="357"/>
      <c r="AU156" s="357"/>
      <c r="AV156" s="357"/>
      <c r="AW156" s="357"/>
      <c r="AX156" s="357"/>
      <c r="AY156" s="357"/>
      <c r="AZ156" s="357"/>
      <c r="BA156" s="357"/>
      <c r="BB156" s="357"/>
      <c r="BC156" s="357"/>
      <c r="BD156" s="358"/>
      <c r="BE156" s="357"/>
      <c r="BF156" s="357"/>
      <c r="BG156" s="357"/>
      <c r="BH156" s="357"/>
      <c r="BI156" s="357"/>
      <c r="BJ156" s="357"/>
      <c r="BK156" s="357"/>
      <c r="BL156" s="357"/>
      <c r="BM156" s="357"/>
      <c r="BN156" s="357"/>
      <c r="BO156" s="357"/>
      <c r="BP156" s="357"/>
      <c r="BQ156" s="390"/>
      <c r="BR156" s="357"/>
      <c r="BS156" s="357"/>
      <c r="BT156" s="357"/>
      <c r="BU156" s="357"/>
      <c r="BV156" s="357"/>
      <c r="BW156" s="357"/>
      <c r="BX156" s="357"/>
      <c r="BY156" s="357"/>
      <c r="BZ156" s="357"/>
      <c r="CA156" s="357"/>
      <c r="CB156" s="357"/>
      <c r="CC156" s="357"/>
      <c r="CD156" s="357"/>
      <c r="CE156" s="331"/>
      <c r="CF156" s="331"/>
      <c r="CG156" s="331"/>
      <c r="CH156" s="331"/>
      <c r="CI156" s="331"/>
      <c r="CJ156" s="331"/>
      <c r="CK156" s="331"/>
      <c r="CL156" s="331"/>
      <c r="CM156" s="331"/>
      <c r="CN156" s="331"/>
      <c r="CO156" s="331"/>
      <c r="CP156" s="331"/>
      <c r="CQ156" s="331"/>
      <c r="CR156" s="331"/>
      <c r="CS156" s="331"/>
      <c r="CT156" s="331"/>
      <c r="CU156" s="331"/>
      <c r="CV156" s="331"/>
      <c r="CW156" s="331"/>
      <c r="CX156" s="331"/>
      <c r="CY156" s="331"/>
      <c r="CZ156" s="331"/>
      <c r="DA156" s="331"/>
      <c r="DB156" s="331"/>
      <c r="DC156" s="331"/>
      <c r="DD156" s="331"/>
      <c r="DE156" s="1"/>
      <c r="DF156" s="1"/>
      <c r="DG156" s="1"/>
      <c r="DH156" s="1"/>
      <c r="DI156" s="1"/>
      <c r="DJ156" s="1"/>
      <c r="DK156" s="1"/>
      <c r="DL156" s="1"/>
      <c r="DM156" s="1"/>
      <c r="DN156" s="1"/>
      <c r="DO156" s="1"/>
      <c r="DP156" s="1"/>
      <c r="DQ156" s="1"/>
    </row>
    <row r="157" spans="1:121" ht="24" x14ac:dyDescent="0.2">
      <c r="A157" s="830"/>
      <c r="B157" s="832"/>
      <c r="C157" s="830"/>
      <c r="D157" s="103" t="s">
        <v>1598</v>
      </c>
      <c r="E157" s="443"/>
      <c r="F157" s="331"/>
      <c r="G157" s="331" t="s">
        <v>49</v>
      </c>
      <c r="H157" s="383" t="s">
        <v>328</v>
      </c>
      <c r="I157" s="383" t="s">
        <v>316</v>
      </c>
      <c r="J157" s="402">
        <v>45109</v>
      </c>
      <c r="K157" s="402">
        <v>46205</v>
      </c>
      <c r="L157" s="457" t="s">
        <v>493</v>
      </c>
      <c r="M157" s="355"/>
      <c r="N157" s="355"/>
      <c r="O157" s="355"/>
      <c r="P157" s="458"/>
      <c r="Q157" s="355"/>
      <c r="R157" s="355"/>
      <c r="S157" s="355"/>
      <c r="T157" s="355"/>
      <c r="U157" s="355"/>
      <c r="V157" s="355"/>
      <c r="W157" s="355"/>
      <c r="X157" s="355"/>
      <c r="Y157" s="355"/>
      <c r="Z157" s="459">
        <f t="shared" si="57"/>
        <v>0</v>
      </c>
      <c r="AA157" s="451">
        <f t="shared" si="54"/>
        <v>0</v>
      </c>
      <c r="AB157" s="451">
        <f t="shared" si="55"/>
        <v>0</v>
      </c>
      <c r="AC157" s="450" t="e">
        <f t="shared" si="56"/>
        <v>#VALUE!</v>
      </c>
      <c r="AD157" s="450"/>
      <c r="AE157" s="450"/>
      <c r="AF157" s="450"/>
      <c r="AG157" s="450"/>
      <c r="AH157" s="331"/>
      <c r="AI157" s="334">
        <v>36</v>
      </c>
      <c r="AJ157" s="334" t="s">
        <v>1304</v>
      </c>
      <c r="AK157" s="334">
        <v>0</v>
      </c>
      <c r="AL157" s="334">
        <v>0</v>
      </c>
      <c r="AM157" s="334" t="s">
        <v>53</v>
      </c>
      <c r="AN157" s="334" t="s">
        <v>53</v>
      </c>
      <c r="AO157" s="334" t="s">
        <v>53</v>
      </c>
      <c r="AP157" s="334" t="s">
        <v>54</v>
      </c>
      <c r="AQ157" s="331"/>
      <c r="AR157" s="357"/>
      <c r="AS157" s="357"/>
      <c r="AT157" s="357"/>
      <c r="AU157" s="357"/>
      <c r="AV157" s="357"/>
      <c r="AW157" s="357"/>
      <c r="AX157" s="357"/>
      <c r="AY157" s="357"/>
      <c r="AZ157" s="357"/>
      <c r="BA157" s="357"/>
      <c r="BB157" s="357"/>
      <c r="BC157" s="357"/>
      <c r="BD157" s="358"/>
      <c r="BE157" s="357"/>
      <c r="BF157" s="357"/>
      <c r="BG157" s="357"/>
      <c r="BH157" s="357"/>
      <c r="BI157" s="357"/>
      <c r="BJ157" s="357"/>
      <c r="BK157" s="357"/>
      <c r="BL157" s="357"/>
      <c r="BM157" s="357"/>
      <c r="BN157" s="357"/>
      <c r="BO157" s="357"/>
      <c r="BP157" s="357"/>
      <c r="BQ157" s="390"/>
      <c r="BR157" s="357"/>
      <c r="BS157" s="357"/>
      <c r="BT157" s="357"/>
      <c r="BU157" s="357"/>
      <c r="BV157" s="357"/>
      <c r="BW157" s="357"/>
      <c r="BX157" s="357"/>
      <c r="BY157" s="357"/>
      <c r="BZ157" s="357"/>
      <c r="CA157" s="357"/>
      <c r="CB157" s="357"/>
      <c r="CC157" s="357"/>
      <c r="CD157" s="357"/>
      <c r="CE157" s="331"/>
      <c r="CF157" s="331"/>
      <c r="CG157" s="331"/>
      <c r="CH157" s="331"/>
      <c r="CI157" s="331"/>
      <c r="CJ157" s="331"/>
      <c r="CK157" s="331"/>
      <c r="CL157" s="331"/>
      <c r="CM157" s="331"/>
      <c r="CN157" s="331"/>
      <c r="CO157" s="331"/>
      <c r="CP157" s="331"/>
      <c r="CQ157" s="331"/>
      <c r="CR157" s="331"/>
      <c r="CS157" s="331"/>
      <c r="CT157" s="331"/>
      <c r="CU157" s="331"/>
      <c r="CV157" s="331"/>
      <c r="CW157" s="331"/>
      <c r="CX157" s="331"/>
      <c r="CY157" s="331"/>
      <c r="CZ157" s="331"/>
      <c r="DA157" s="331"/>
      <c r="DB157" s="331"/>
      <c r="DC157" s="331"/>
      <c r="DD157" s="331"/>
      <c r="DE157" s="1"/>
      <c r="DF157" s="1"/>
      <c r="DG157" s="1"/>
      <c r="DH157" s="1"/>
      <c r="DI157" s="1"/>
      <c r="DJ157" s="1"/>
      <c r="DK157" s="1"/>
      <c r="DL157" s="1"/>
      <c r="DM157" s="1"/>
      <c r="DN157" s="1"/>
      <c r="DO157" s="1"/>
      <c r="DP157" s="1"/>
      <c r="DQ157" s="1"/>
    </row>
    <row r="158" spans="1:121" x14ac:dyDescent="0.2">
      <c r="A158" s="830"/>
      <c r="B158" s="832"/>
      <c r="C158" s="830"/>
      <c r="D158" s="103" t="s">
        <v>1599</v>
      </c>
      <c r="E158" s="443"/>
      <c r="F158" s="331"/>
      <c r="G158" s="331" t="s">
        <v>49</v>
      </c>
      <c r="H158" s="383" t="s">
        <v>328</v>
      </c>
      <c r="I158" s="383" t="s">
        <v>316</v>
      </c>
      <c r="J158" s="402">
        <v>45109</v>
      </c>
      <c r="K158" s="402">
        <v>46205</v>
      </c>
      <c r="L158" s="457" t="s">
        <v>493</v>
      </c>
      <c r="M158" s="355"/>
      <c r="N158" s="355"/>
      <c r="O158" s="355"/>
      <c r="P158" s="458"/>
      <c r="Q158" s="355"/>
      <c r="R158" s="355"/>
      <c r="S158" s="355"/>
      <c r="T158" s="355"/>
      <c r="U158" s="355"/>
      <c r="V158" s="355"/>
      <c r="W158" s="355"/>
      <c r="X158" s="355"/>
      <c r="Y158" s="355"/>
      <c r="Z158" s="459">
        <f t="shared" si="57"/>
        <v>0</v>
      </c>
      <c r="AA158" s="451">
        <f t="shared" si="54"/>
        <v>0</v>
      </c>
      <c r="AB158" s="451">
        <f t="shared" si="55"/>
        <v>0</v>
      </c>
      <c r="AC158" s="450" t="e">
        <f t="shared" si="56"/>
        <v>#VALUE!</v>
      </c>
      <c r="AD158" s="450"/>
      <c r="AE158" s="450"/>
      <c r="AF158" s="450"/>
      <c r="AG158" s="450"/>
      <c r="AH158" s="331"/>
      <c r="AI158" s="334">
        <v>36</v>
      </c>
      <c r="AJ158" s="334" t="s">
        <v>1304</v>
      </c>
      <c r="AK158" s="334">
        <v>0</v>
      </c>
      <c r="AL158" s="334">
        <v>0</v>
      </c>
      <c r="AM158" s="334" t="s">
        <v>53</v>
      </c>
      <c r="AN158" s="334" t="s">
        <v>53</v>
      </c>
      <c r="AO158" s="334" t="s">
        <v>53</v>
      </c>
      <c r="AP158" s="334" t="s">
        <v>54</v>
      </c>
      <c r="AQ158" s="331"/>
      <c r="AR158" s="357"/>
      <c r="AS158" s="357"/>
      <c r="AT158" s="357"/>
      <c r="AU158" s="357"/>
      <c r="AV158" s="357"/>
      <c r="AW158" s="357"/>
      <c r="AX158" s="357"/>
      <c r="AY158" s="357"/>
      <c r="AZ158" s="357"/>
      <c r="BA158" s="357"/>
      <c r="BB158" s="357"/>
      <c r="BC158" s="357"/>
      <c r="BD158" s="358"/>
      <c r="BE158" s="357"/>
      <c r="BF158" s="357"/>
      <c r="BG158" s="357"/>
      <c r="BH158" s="357"/>
      <c r="BI158" s="357"/>
      <c r="BJ158" s="357"/>
      <c r="BK158" s="357"/>
      <c r="BL158" s="357"/>
      <c r="BM158" s="357"/>
      <c r="BN158" s="357"/>
      <c r="BO158" s="357"/>
      <c r="BP158" s="357"/>
      <c r="BQ158" s="390"/>
      <c r="BR158" s="357"/>
      <c r="BS158" s="357"/>
      <c r="BT158" s="357"/>
      <c r="BU158" s="357"/>
      <c r="BV158" s="357"/>
      <c r="BW158" s="357"/>
      <c r="BX158" s="357"/>
      <c r="BY158" s="357"/>
      <c r="BZ158" s="357"/>
      <c r="CA158" s="357"/>
      <c r="CB158" s="357"/>
      <c r="CC158" s="357"/>
      <c r="CD158" s="357"/>
      <c r="CE158" s="331"/>
      <c r="CF158" s="331"/>
      <c r="CG158" s="331"/>
      <c r="CH158" s="331"/>
      <c r="CI158" s="331"/>
      <c r="CJ158" s="331"/>
      <c r="CK158" s="331"/>
      <c r="CL158" s="331"/>
      <c r="CM158" s="331"/>
      <c r="CN158" s="331"/>
      <c r="CO158" s="331"/>
      <c r="CP158" s="331"/>
      <c r="CQ158" s="331"/>
      <c r="CR158" s="331"/>
      <c r="CS158" s="331"/>
      <c r="CT158" s="331"/>
      <c r="CU158" s="331"/>
      <c r="CV158" s="331"/>
      <c r="CW158" s="331"/>
      <c r="CX158" s="331"/>
      <c r="CY158" s="331"/>
      <c r="CZ158" s="331"/>
      <c r="DA158" s="331"/>
      <c r="DB158" s="331"/>
      <c r="DC158" s="331"/>
      <c r="DD158" s="331"/>
      <c r="DE158" s="1"/>
      <c r="DF158" s="1"/>
      <c r="DG158" s="1"/>
      <c r="DH158" s="1"/>
      <c r="DI158" s="1"/>
      <c r="DJ158" s="1"/>
      <c r="DK158" s="1"/>
      <c r="DL158" s="1"/>
      <c r="DM158" s="1"/>
      <c r="DN158" s="1"/>
      <c r="DO158" s="1"/>
      <c r="DP158" s="1"/>
      <c r="DQ158" s="1"/>
    </row>
    <row r="159" spans="1:121" x14ac:dyDescent="0.2">
      <c r="A159" s="830"/>
      <c r="B159" s="832"/>
      <c r="C159" s="830"/>
      <c r="D159" s="103" t="s">
        <v>1600</v>
      </c>
      <c r="E159" s="531"/>
      <c r="F159" s="331"/>
      <c r="G159" s="331" t="s">
        <v>49</v>
      </c>
      <c r="H159" s="383" t="s">
        <v>328</v>
      </c>
      <c r="I159" s="383" t="s">
        <v>316</v>
      </c>
      <c r="J159" s="402">
        <v>45109</v>
      </c>
      <c r="K159" s="402">
        <v>46205</v>
      </c>
      <c r="L159" s="457" t="s">
        <v>493</v>
      </c>
      <c r="M159" s="355"/>
      <c r="N159" s="355"/>
      <c r="O159" s="355"/>
      <c r="P159" s="458"/>
      <c r="Q159" s="355"/>
      <c r="R159" s="355"/>
      <c r="S159" s="355"/>
      <c r="T159" s="355"/>
      <c r="U159" s="355"/>
      <c r="V159" s="355"/>
      <c r="W159" s="355"/>
      <c r="X159" s="355"/>
      <c r="Y159" s="355"/>
      <c r="Z159" s="459">
        <f t="shared" si="57"/>
        <v>0</v>
      </c>
      <c r="AA159" s="451">
        <f t="shared" si="54"/>
        <v>0</v>
      </c>
      <c r="AB159" s="451">
        <f t="shared" si="55"/>
        <v>0</v>
      </c>
      <c r="AC159" s="450" t="e">
        <f t="shared" si="56"/>
        <v>#VALUE!</v>
      </c>
      <c r="AD159" s="450"/>
      <c r="AE159" s="450"/>
      <c r="AF159" s="450"/>
      <c r="AG159" s="450"/>
      <c r="AH159" s="331"/>
      <c r="AI159" s="334">
        <v>36</v>
      </c>
      <c r="AJ159" s="334" t="s">
        <v>1304</v>
      </c>
      <c r="AK159" s="334">
        <v>0</v>
      </c>
      <c r="AL159" s="334">
        <v>0</v>
      </c>
      <c r="AM159" s="334" t="s">
        <v>53</v>
      </c>
      <c r="AN159" s="334" t="s">
        <v>53</v>
      </c>
      <c r="AO159" s="334" t="s">
        <v>53</v>
      </c>
      <c r="AP159" s="334" t="s">
        <v>54</v>
      </c>
      <c r="AQ159" s="331"/>
      <c r="AR159" s="357"/>
      <c r="AS159" s="357"/>
      <c r="AT159" s="357"/>
      <c r="AU159" s="357"/>
      <c r="AV159" s="357"/>
      <c r="AW159" s="357"/>
      <c r="AX159" s="357"/>
      <c r="AY159" s="357"/>
      <c r="AZ159" s="357"/>
      <c r="BA159" s="357"/>
      <c r="BB159" s="357"/>
      <c r="BC159" s="357"/>
      <c r="BD159" s="358"/>
      <c r="BE159" s="357"/>
      <c r="BF159" s="357"/>
      <c r="BG159" s="357"/>
      <c r="BH159" s="357"/>
      <c r="BI159" s="357"/>
      <c r="BJ159" s="357"/>
      <c r="BK159" s="357"/>
      <c r="BL159" s="357"/>
      <c r="BM159" s="357"/>
      <c r="BN159" s="357"/>
      <c r="BO159" s="357"/>
      <c r="BP159" s="357"/>
      <c r="BQ159" s="390"/>
      <c r="BR159" s="357"/>
      <c r="BS159" s="357"/>
      <c r="BT159" s="357"/>
      <c r="BU159" s="357"/>
      <c r="BV159" s="357"/>
      <c r="BW159" s="357"/>
      <c r="BX159" s="357"/>
      <c r="BY159" s="357"/>
      <c r="BZ159" s="357"/>
      <c r="CA159" s="357"/>
      <c r="CB159" s="357"/>
      <c r="CC159" s="357"/>
      <c r="CD159" s="357"/>
      <c r="CE159" s="331"/>
      <c r="CF159" s="331"/>
      <c r="CG159" s="331"/>
      <c r="CH159" s="331"/>
      <c r="CI159" s="331"/>
      <c r="CJ159" s="331"/>
      <c r="CK159" s="331"/>
      <c r="CL159" s="331"/>
      <c r="CM159" s="331"/>
      <c r="CN159" s="331"/>
      <c r="CO159" s="331"/>
      <c r="CP159" s="331"/>
      <c r="CQ159" s="331"/>
      <c r="CR159" s="331"/>
      <c r="CS159" s="331"/>
      <c r="CT159" s="331"/>
      <c r="CU159" s="331"/>
      <c r="CV159" s="331"/>
      <c r="CW159" s="331"/>
      <c r="CX159" s="331"/>
      <c r="CY159" s="331"/>
      <c r="CZ159" s="331"/>
      <c r="DA159" s="331"/>
      <c r="DB159" s="331"/>
      <c r="DC159" s="331"/>
      <c r="DD159" s="331"/>
      <c r="DE159" s="1"/>
      <c r="DF159" s="1"/>
      <c r="DG159" s="1"/>
      <c r="DH159" s="1"/>
      <c r="DI159" s="1"/>
      <c r="DJ159" s="1"/>
      <c r="DK159" s="1"/>
      <c r="DL159" s="1"/>
      <c r="DM159" s="1"/>
      <c r="DN159" s="1"/>
      <c r="DO159" s="1"/>
      <c r="DP159" s="1"/>
      <c r="DQ159" s="1"/>
    </row>
    <row r="160" spans="1:121" x14ac:dyDescent="0.2">
      <c r="A160" s="830"/>
      <c r="B160" s="832"/>
      <c r="C160" s="830"/>
      <c r="D160" s="103" t="s">
        <v>1601</v>
      </c>
      <c r="E160" s="443"/>
      <c r="F160" s="331"/>
      <c r="G160" s="331" t="s">
        <v>49</v>
      </c>
      <c r="H160" s="383" t="s">
        <v>328</v>
      </c>
      <c r="I160" s="383" t="s">
        <v>316</v>
      </c>
      <c r="J160" s="402">
        <v>45109</v>
      </c>
      <c r="K160" s="402">
        <v>46205</v>
      </c>
      <c r="L160" s="457" t="s">
        <v>493</v>
      </c>
      <c r="M160" s="355"/>
      <c r="N160" s="355"/>
      <c r="O160" s="355"/>
      <c r="P160" s="458"/>
      <c r="Q160" s="355"/>
      <c r="R160" s="355"/>
      <c r="S160" s="355"/>
      <c r="T160" s="355"/>
      <c r="U160" s="355"/>
      <c r="V160" s="355"/>
      <c r="W160" s="355"/>
      <c r="X160" s="355"/>
      <c r="Y160" s="355"/>
      <c r="Z160" s="459">
        <f t="shared" si="57"/>
        <v>0</v>
      </c>
      <c r="AA160" s="451">
        <f t="shared" si="54"/>
        <v>0</v>
      </c>
      <c r="AB160" s="451">
        <f t="shared" si="55"/>
        <v>0</v>
      </c>
      <c r="AC160" s="450" t="e">
        <f t="shared" si="56"/>
        <v>#VALUE!</v>
      </c>
      <c r="AD160" s="450"/>
      <c r="AE160" s="450"/>
      <c r="AF160" s="450"/>
      <c r="AG160" s="450"/>
      <c r="AH160" s="331"/>
      <c r="AI160" s="334">
        <v>36</v>
      </c>
      <c r="AJ160" s="334" t="s">
        <v>1304</v>
      </c>
      <c r="AK160" s="334">
        <v>0</v>
      </c>
      <c r="AL160" s="334">
        <v>0</v>
      </c>
      <c r="AM160" s="334" t="s">
        <v>53</v>
      </c>
      <c r="AN160" s="334" t="s">
        <v>53</v>
      </c>
      <c r="AO160" s="334" t="s">
        <v>53</v>
      </c>
      <c r="AP160" s="334" t="s">
        <v>54</v>
      </c>
      <c r="AQ160" s="331"/>
      <c r="AR160" s="357"/>
      <c r="AS160" s="357"/>
      <c r="AT160" s="357"/>
      <c r="AU160" s="357"/>
      <c r="AV160" s="357"/>
      <c r="AW160" s="357"/>
      <c r="AX160" s="357"/>
      <c r="AY160" s="357"/>
      <c r="AZ160" s="357"/>
      <c r="BA160" s="357"/>
      <c r="BB160" s="357"/>
      <c r="BC160" s="357"/>
      <c r="BD160" s="358"/>
      <c r="BE160" s="357"/>
      <c r="BF160" s="357"/>
      <c r="BG160" s="357"/>
      <c r="BH160" s="357"/>
      <c r="BI160" s="357"/>
      <c r="BJ160" s="357"/>
      <c r="BK160" s="357"/>
      <c r="BL160" s="357"/>
      <c r="BM160" s="357"/>
      <c r="BN160" s="357"/>
      <c r="BO160" s="357"/>
      <c r="BP160" s="357"/>
      <c r="BQ160" s="390"/>
      <c r="BR160" s="357"/>
      <c r="BS160" s="357"/>
      <c r="BT160" s="357"/>
      <c r="BU160" s="357"/>
      <c r="BV160" s="357"/>
      <c r="BW160" s="357"/>
      <c r="BX160" s="357"/>
      <c r="BY160" s="357"/>
      <c r="BZ160" s="357"/>
      <c r="CA160" s="357"/>
      <c r="CB160" s="357"/>
      <c r="CC160" s="357"/>
      <c r="CD160" s="357"/>
      <c r="CE160" s="331"/>
      <c r="CF160" s="331"/>
      <c r="CG160" s="331"/>
      <c r="CH160" s="331"/>
      <c r="CI160" s="331"/>
      <c r="CJ160" s="331"/>
      <c r="CK160" s="331"/>
      <c r="CL160" s="331"/>
      <c r="CM160" s="331"/>
      <c r="CN160" s="331"/>
      <c r="CO160" s="331"/>
      <c r="CP160" s="331"/>
      <c r="CQ160" s="331"/>
      <c r="CR160" s="331"/>
      <c r="CS160" s="331"/>
      <c r="CT160" s="331"/>
      <c r="CU160" s="331"/>
      <c r="CV160" s="331"/>
      <c r="CW160" s="331"/>
      <c r="CX160" s="331"/>
      <c r="CY160" s="331"/>
      <c r="CZ160" s="331"/>
      <c r="DA160" s="331"/>
      <c r="DB160" s="331"/>
      <c r="DC160" s="331"/>
      <c r="DD160" s="331"/>
      <c r="DE160" s="1"/>
      <c r="DF160" s="1"/>
      <c r="DG160" s="1"/>
      <c r="DH160" s="1"/>
      <c r="DI160" s="1"/>
      <c r="DJ160" s="1"/>
      <c r="DK160" s="1"/>
      <c r="DL160" s="1"/>
      <c r="DM160" s="1"/>
      <c r="DN160" s="1"/>
      <c r="DO160" s="1"/>
      <c r="DP160" s="1"/>
      <c r="DQ160" s="1"/>
    </row>
    <row r="161" spans="1:121" x14ac:dyDescent="0.2">
      <c r="A161" s="830"/>
      <c r="B161" s="832"/>
      <c r="C161" s="830"/>
      <c r="D161" s="103" t="s">
        <v>1602</v>
      </c>
      <c r="E161" s="443"/>
      <c r="F161" s="331"/>
      <c r="G161" s="331" t="s">
        <v>49</v>
      </c>
      <c r="H161" s="383" t="s">
        <v>328</v>
      </c>
      <c r="I161" s="383" t="s">
        <v>316</v>
      </c>
      <c r="J161" s="402">
        <v>45109</v>
      </c>
      <c r="K161" s="402">
        <v>46205</v>
      </c>
      <c r="L161" s="457" t="s">
        <v>493</v>
      </c>
      <c r="M161" s="355"/>
      <c r="N161" s="355"/>
      <c r="O161" s="355"/>
      <c r="P161" s="458"/>
      <c r="Q161" s="355"/>
      <c r="R161" s="355"/>
      <c r="S161" s="355"/>
      <c r="T161" s="355"/>
      <c r="U161" s="355"/>
      <c r="V161" s="355"/>
      <c r="W161" s="355"/>
      <c r="X161" s="355"/>
      <c r="Y161" s="355"/>
      <c r="Z161" s="459">
        <f t="shared" si="57"/>
        <v>0</v>
      </c>
      <c r="AA161" s="451">
        <f t="shared" si="54"/>
        <v>0</v>
      </c>
      <c r="AB161" s="451">
        <f t="shared" si="55"/>
        <v>0</v>
      </c>
      <c r="AC161" s="450" t="e">
        <f t="shared" si="56"/>
        <v>#VALUE!</v>
      </c>
      <c r="AD161" s="450"/>
      <c r="AE161" s="450"/>
      <c r="AF161" s="450"/>
      <c r="AG161" s="450"/>
      <c r="AH161" s="331"/>
      <c r="AI161" s="334">
        <v>36</v>
      </c>
      <c r="AJ161" s="334" t="s">
        <v>1304</v>
      </c>
      <c r="AK161" s="334">
        <v>0</v>
      </c>
      <c r="AL161" s="334">
        <v>0</v>
      </c>
      <c r="AM161" s="334" t="s">
        <v>53</v>
      </c>
      <c r="AN161" s="334" t="s">
        <v>53</v>
      </c>
      <c r="AO161" s="334" t="s">
        <v>53</v>
      </c>
      <c r="AP161" s="334" t="s">
        <v>54</v>
      </c>
      <c r="AQ161" s="331"/>
      <c r="AR161" s="357"/>
      <c r="AS161" s="357"/>
      <c r="AT161" s="357"/>
      <c r="AU161" s="357"/>
      <c r="AV161" s="357"/>
      <c r="AW161" s="357"/>
      <c r="AX161" s="357"/>
      <c r="AY161" s="357"/>
      <c r="AZ161" s="357"/>
      <c r="BA161" s="357"/>
      <c r="BB161" s="357"/>
      <c r="BC161" s="357"/>
      <c r="BD161" s="358"/>
      <c r="BE161" s="357"/>
      <c r="BF161" s="357"/>
      <c r="BG161" s="357"/>
      <c r="BH161" s="357"/>
      <c r="BI161" s="357"/>
      <c r="BJ161" s="357"/>
      <c r="BK161" s="357"/>
      <c r="BL161" s="357"/>
      <c r="BM161" s="357"/>
      <c r="BN161" s="357"/>
      <c r="BO161" s="357"/>
      <c r="BP161" s="357"/>
      <c r="BQ161" s="390"/>
      <c r="BR161" s="357"/>
      <c r="BS161" s="357"/>
      <c r="BT161" s="357"/>
      <c r="BU161" s="357"/>
      <c r="BV161" s="357"/>
      <c r="BW161" s="357"/>
      <c r="BX161" s="357"/>
      <c r="BY161" s="357"/>
      <c r="BZ161" s="357"/>
      <c r="CA161" s="357"/>
      <c r="CB161" s="357"/>
      <c r="CC161" s="357"/>
      <c r="CD161" s="357"/>
      <c r="CE161" s="331"/>
      <c r="CF161" s="331"/>
      <c r="CG161" s="331"/>
      <c r="CH161" s="331"/>
      <c r="CI161" s="331"/>
      <c r="CJ161" s="331"/>
      <c r="CK161" s="331"/>
      <c r="CL161" s="331"/>
      <c r="CM161" s="331"/>
      <c r="CN161" s="331"/>
      <c r="CO161" s="331"/>
      <c r="CP161" s="331"/>
      <c r="CQ161" s="331"/>
      <c r="CR161" s="331"/>
      <c r="CS161" s="331"/>
      <c r="CT161" s="331"/>
      <c r="CU161" s="331"/>
      <c r="CV161" s="331"/>
      <c r="CW161" s="331"/>
      <c r="CX161" s="331"/>
      <c r="CY161" s="331"/>
      <c r="CZ161" s="331"/>
      <c r="DA161" s="331"/>
      <c r="DB161" s="331"/>
      <c r="DC161" s="331"/>
      <c r="DD161" s="331"/>
      <c r="DE161" s="1"/>
      <c r="DF161" s="1"/>
      <c r="DG161" s="1"/>
      <c r="DH161" s="1"/>
      <c r="DI161" s="1"/>
      <c r="DJ161" s="1"/>
      <c r="DK161" s="1"/>
      <c r="DL161" s="1"/>
      <c r="DM161" s="1"/>
      <c r="DN161" s="1"/>
      <c r="DO161" s="1"/>
      <c r="DP161" s="1"/>
      <c r="DQ161" s="1"/>
    </row>
    <row r="162" spans="1:121" x14ac:dyDescent="0.2">
      <c r="A162" s="830"/>
      <c r="B162" s="832"/>
      <c r="C162" s="830"/>
      <c r="D162" s="103" t="s">
        <v>1603</v>
      </c>
      <c r="E162" s="443"/>
      <c r="F162" s="331"/>
      <c r="G162" s="331" t="s">
        <v>49</v>
      </c>
      <c r="H162" s="383" t="s">
        <v>328</v>
      </c>
      <c r="I162" s="383" t="s">
        <v>316</v>
      </c>
      <c r="J162" s="402">
        <v>45109</v>
      </c>
      <c r="K162" s="402">
        <v>46205</v>
      </c>
      <c r="L162" s="457" t="s">
        <v>493</v>
      </c>
      <c r="M162" s="355"/>
      <c r="N162" s="355"/>
      <c r="O162" s="355"/>
      <c r="P162" s="458"/>
      <c r="Q162" s="355"/>
      <c r="R162" s="355"/>
      <c r="S162" s="355"/>
      <c r="T162" s="355"/>
      <c r="U162" s="355"/>
      <c r="V162" s="355"/>
      <c r="W162" s="355"/>
      <c r="X162" s="355"/>
      <c r="Y162" s="355"/>
      <c r="Z162" s="459">
        <f t="shared" si="57"/>
        <v>0</v>
      </c>
      <c r="AA162" s="451">
        <f t="shared" si="54"/>
        <v>0</v>
      </c>
      <c r="AB162" s="451">
        <f t="shared" si="55"/>
        <v>0</v>
      </c>
      <c r="AC162" s="450" t="e">
        <f t="shared" si="56"/>
        <v>#VALUE!</v>
      </c>
      <c r="AD162" s="450"/>
      <c r="AE162" s="450"/>
      <c r="AF162" s="450"/>
      <c r="AG162" s="450"/>
      <c r="AH162" s="331"/>
      <c r="AI162" s="334">
        <v>36</v>
      </c>
      <c r="AJ162" s="334" t="s">
        <v>1304</v>
      </c>
      <c r="AK162" s="334">
        <v>0</v>
      </c>
      <c r="AL162" s="334">
        <v>0</v>
      </c>
      <c r="AM162" s="334" t="s">
        <v>53</v>
      </c>
      <c r="AN162" s="334" t="s">
        <v>53</v>
      </c>
      <c r="AO162" s="334" t="s">
        <v>53</v>
      </c>
      <c r="AP162" s="334" t="s">
        <v>54</v>
      </c>
      <c r="AQ162" s="331"/>
      <c r="AR162" s="357"/>
      <c r="AS162" s="357"/>
      <c r="AT162" s="357"/>
      <c r="AU162" s="357"/>
      <c r="AV162" s="357"/>
      <c r="AW162" s="357"/>
      <c r="AX162" s="357"/>
      <c r="AY162" s="357"/>
      <c r="AZ162" s="357"/>
      <c r="BA162" s="357"/>
      <c r="BB162" s="357"/>
      <c r="BC162" s="357"/>
      <c r="BD162" s="358"/>
      <c r="BE162" s="357"/>
      <c r="BF162" s="357"/>
      <c r="BG162" s="357"/>
      <c r="BH162" s="357"/>
      <c r="BI162" s="357"/>
      <c r="BJ162" s="357"/>
      <c r="BK162" s="357"/>
      <c r="BL162" s="357"/>
      <c r="BM162" s="357"/>
      <c r="BN162" s="357"/>
      <c r="BO162" s="357"/>
      <c r="BP162" s="357"/>
      <c r="BQ162" s="390"/>
      <c r="BR162" s="357"/>
      <c r="BS162" s="357"/>
      <c r="BT162" s="357"/>
      <c r="BU162" s="357"/>
      <c r="BV162" s="357"/>
      <c r="BW162" s="357"/>
      <c r="BX162" s="357"/>
      <c r="BY162" s="357"/>
      <c r="BZ162" s="357"/>
      <c r="CA162" s="357"/>
      <c r="CB162" s="357"/>
      <c r="CC162" s="357"/>
      <c r="CD162" s="357"/>
      <c r="CE162" s="331"/>
      <c r="CF162" s="331"/>
      <c r="CG162" s="331"/>
      <c r="CH162" s="331"/>
      <c r="CI162" s="331"/>
      <c r="CJ162" s="331"/>
      <c r="CK162" s="331"/>
      <c r="CL162" s="331"/>
      <c r="CM162" s="331"/>
      <c r="CN162" s="331"/>
      <c r="CO162" s="331"/>
      <c r="CP162" s="331"/>
      <c r="CQ162" s="331"/>
      <c r="CR162" s="331"/>
      <c r="CS162" s="331"/>
      <c r="CT162" s="331"/>
      <c r="CU162" s="331"/>
      <c r="CV162" s="331"/>
      <c r="CW162" s="331"/>
      <c r="CX162" s="331"/>
      <c r="CY162" s="331"/>
      <c r="CZ162" s="331"/>
      <c r="DA162" s="331"/>
      <c r="DB162" s="331"/>
      <c r="DC162" s="331"/>
      <c r="DD162" s="331"/>
      <c r="DE162" s="1"/>
      <c r="DF162" s="1"/>
      <c r="DG162" s="1"/>
      <c r="DH162" s="1"/>
      <c r="DI162" s="1"/>
      <c r="DJ162" s="1"/>
      <c r="DK162" s="1"/>
      <c r="DL162" s="1"/>
      <c r="DM162" s="1"/>
      <c r="DN162" s="1"/>
      <c r="DO162" s="1"/>
      <c r="DP162" s="1"/>
      <c r="DQ162" s="1"/>
    </row>
    <row r="163" spans="1:121" x14ac:dyDescent="0.2">
      <c r="A163" s="830"/>
      <c r="B163" s="832"/>
      <c r="C163" s="830"/>
      <c r="D163" s="103" t="s">
        <v>1604</v>
      </c>
      <c r="E163" s="443"/>
      <c r="F163" s="331"/>
      <c r="G163" s="331" t="s">
        <v>49</v>
      </c>
      <c r="H163" s="383" t="s">
        <v>328</v>
      </c>
      <c r="I163" s="383" t="s">
        <v>316</v>
      </c>
      <c r="J163" s="402">
        <v>45109</v>
      </c>
      <c r="K163" s="402">
        <v>46205</v>
      </c>
      <c r="L163" s="457" t="s">
        <v>493</v>
      </c>
      <c r="M163" s="355"/>
      <c r="N163" s="355"/>
      <c r="O163" s="355"/>
      <c r="P163" s="458"/>
      <c r="Q163" s="355"/>
      <c r="R163" s="355"/>
      <c r="S163" s="355"/>
      <c r="T163" s="355"/>
      <c r="U163" s="355"/>
      <c r="V163" s="355"/>
      <c r="W163" s="355"/>
      <c r="X163" s="355"/>
      <c r="Y163" s="355"/>
      <c r="Z163" s="459">
        <f t="shared" si="57"/>
        <v>0</v>
      </c>
      <c r="AA163" s="451">
        <f t="shared" si="54"/>
        <v>0</v>
      </c>
      <c r="AB163" s="451">
        <f t="shared" si="55"/>
        <v>0</v>
      </c>
      <c r="AC163" s="450" t="e">
        <f t="shared" si="56"/>
        <v>#VALUE!</v>
      </c>
      <c r="AD163" s="450"/>
      <c r="AE163" s="450"/>
      <c r="AF163" s="450"/>
      <c r="AG163" s="450"/>
      <c r="AH163" s="331"/>
      <c r="AI163" s="334">
        <v>36</v>
      </c>
      <c r="AJ163" s="334" t="s">
        <v>1304</v>
      </c>
      <c r="AK163" s="334">
        <v>0</v>
      </c>
      <c r="AL163" s="334">
        <v>0</v>
      </c>
      <c r="AM163" s="334" t="s">
        <v>53</v>
      </c>
      <c r="AN163" s="334" t="s">
        <v>53</v>
      </c>
      <c r="AO163" s="334" t="s">
        <v>53</v>
      </c>
      <c r="AP163" s="334" t="s">
        <v>54</v>
      </c>
      <c r="AQ163" s="331"/>
      <c r="AR163" s="357"/>
      <c r="AS163" s="357"/>
      <c r="AT163" s="357"/>
      <c r="AU163" s="357"/>
      <c r="AV163" s="357"/>
      <c r="AW163" s="357"/>
      <c r="AX163" s="357"/>
      <c r="AY163" s="357"/>
      <c r="AZ163" s="357"/>
      <c r="BA163" s="357"/>
      <c r="BB163" s="357"/>
      <c r="BC163" s="357"/>
      <c r="BD163" s="358"/>
      <c r="BE163" s="357"/>
      <c r="BF163" s="357"/>
      <c r="BG163" s="357"/>
      <c r="BH163" s="357"/>
      <c r="BI163" s="357"/>
      <c r="BJ163" s="357"/>
      <c r="BK163" s="357"/>
      <c r="BL163" s="357"/>
      <c r="BM163" s="357"/>
      <c r="BN163" s="357"/>
      <c r="BO163" s="357"/>
      <c r="BP163" s="357"/>
      <c r="BQ163" s="390"/>
      <c r="BR163" s="357"/>
      <c r="BS163" s="357"/>
      <c r="BT163" s="357"/>
      <c r="BU163" s="357"/>
      <c r="BV163" s="357"/>
      <c r="BW163" s="357"/>
      <c r="BX163" s="357"/>
      <c r="BY163" s="357"/>
      <c r="BZ163" s="357"/>
      <c r="CA163" s="357"/>
      <c r="CB163" s="357"/>
      <c r="CC163" s="357"/>
      <c r="CD163" s="357"/>
      <c r="CE163" s="331"/>
      <c r="CF163" s="331"/>
      <c r="CG163" s="331"/>
      <c r="CH163" s="331"/>
      <c r="CI163" s="331"/>
      <c r="CJ163" s="331"/>
      <c r="CK163" s="331"/>
      <c r="CL163" s="331"/>
      <c r="CM163" s="331"/>
      <c r="CN163" s="331"/>
      <c r="CO163" s="331"/>
      <c r="CP163" s="331"/>
      <c r="CQ163" s="331"/>
      <c r="CR163" s="331"/>
      <c r="CS163" s="331"/>
      <c r="CT163" s="331"/>
      <c r="CU163" s="331"/>
      <c r="CV163" s="331"/>
      <c r="CW163" s="331"/>
      <c r="CX163" s="331"/>
      <c r="CY163" s="331"/>
      <c r="CZ163" s="331"/>
      <c r="DA163" s="331"/>
      <c r="DB163" s="331"/>
      <c r="DC163" s="331"/>
      <c r="DD163" s="331"/>
      <c r="DE163" s="1"/>
      <c r="DF163" s="1"/>
      <c r="DG163" s="1"/>
      <c r="DH163" s="1"/>
      <c r="DI163" s="1"/>
      <c r="DJ163" s="1"/>
      <c r="DK163" s="1"/>
      <c r="DL163" s="1"/>
      <c r="DM163" s="1"/>
      <c r="DN163" s="1"/>
      <c r="DO163" s="1"/>
      <c r="DP163" s="1"/>
      <c r="DQ163" s="1"/>
    </row>
    <row r="164" spans="1:121" x14ac:dyDescent="0.2">
      <c r="A164" s="830"/>
      <c r="B164" s="832"/>
      <c r="C164" s="830"/>
      <c r="D164" s="103" t="s">
        <v>1874</v>
      </c>
      <c r="E164" s="443"/>
      <c r="F164" s="331"/>
      <c r="G164" s="331" t="s">
        <v>49</v>
      </c>
      <c r="H164" s="383" t="s">
        <v>328</v>
      </c>
      <c r="I164" s="383" t="s">
        <v>316</v>
      </c>
      <c r="J164" s="402">
        <v>45109</v>
      </c>
      <c r="K164" s="402">
        <v>46205</v>
      </c>
      <c r="L164" s="457" t="s">
        <v>493</v>
      </c>
      <c r="M164" s="355"/>
      <c r="N164" s="355"/>
      <c r="O164" s="355"/>
      <c r="P164" s="458"/>
      <c r="Q164" s="355"/>
      <c r="R164" s="355"/>
      <c r="S164" s="355"/>
      <c r="T164" s="355"/>
      <c r="U164" s="355"/>
      <c r="V164" s="355"/>
      <c r="W164" s="355"/>
      <c r="X164" s="355"/>
      <c r="Y164" s="355"/>
      <c r="Z164" s="459">
        <f t="shared" si="57"/>
        <v>0</v>
      </c>
      <c r="AA164" s="451">
        <f t="shared" si="54"/>
        <v>0</v>
      </c>
      <c r="AB164" s="451">
        <f t="shared" si="55"/>
        <v>0</v>
      </c>
      <c r="AC164" s="450" t="e">
        <f t="shared" si="56"/>
        <v>#VALUE!</v>
      </c>
      <c r="AD164" s="450"/>
      <c r="AE164" s="450"/>
      <c r="AF164" s="450"/>
      <c r="AG164" s="450"/>
      <c r="AH164" s="331"/>
      <c r="AI164" s="334">
        <v>36</v>
      </c>
      <c r="AJ164" s="334" t="s">
        <v>1304</v>
      </c>
      <c r="AK164" s="334">
        <v>0</v>
      </c>
      <c r="AL164" s="334">
        <v>0</v>
      </c>
      <c r="AM164" s="334" t="s">
        <v>53</v>
      </c>
      <c r="AN164" s="334" t="s">
        <v>53</v>
      </c>
      <c r="AO164" s="334" t="s">
        <v>53</v>
      </c>
      <c r="AP164" s="334" t="s">
        <v>54</v>
      </c>
      <c r="AQ164" s="331"/>
      <c r="AR164" s="357"/>
      <c r="AS164" s="357"/>
      <c r="AT164" s="357"/>
      <c r="AU164" s="357"/>
      <c r="AV164" s="357"/>
      <c r="AW164" s="357"/>
      <c r="AX164" s="357"/>
      <c r="AY164" s="357"/>
      <c r="AZ164" s="357"/>
      <c r="BA164" s="357"/>
      <c r="BB164" s="357"/>
      <c r="BC164" s="357"/>
      <c r="BD164" s="358"/>
      <c r="BE164" s="357"/>
      <c r="BF164" s="357"/>
      <c r="BG164" s="357"/>
      <c r="BH164" s="357"/>
      <c r="BI164" s="357"/>
      <c r="BJ164" s="357"/>
      <c r="BK164" s="357"/>
      <c r="BL164" s="357"/>
      <c r="BM164" s="357"/>
      <c r="BN164" s="357"/>
      <c r="BO164" s="357"/>
      <c r="BP164" s="357"/>
      <c r="BQ164" s="390"/>
      <c r="BR164" s="357"/>
      <c r="BS164" s="357"/>
      <c r="BT164" s="357"/>
      <c r="BU164" s="357"/>
      <c r="BV164" s="357"/>
      <c r="BW164" s="357"/>
      <c r="BX164" s="357"/>
      <c r="BY164" s="357"/>
      <c r="BZ164" s="357"/>
      <c r="CA164" s="357"/>
      <c r="CB164" s="357"/>
      <c r="CC164" s="357"/>
      <c r="CD164" s="357"/>
      <c r="CE164" s="331"/>
      <c r="CF164" s="331"/>
      <c r="CG164" s="331"/>
      <c r="CH164" s="331"/>
      <c r="CI164" s="331"/>
      <c r="CJ164" s="331"/>
      <c r="CK164" s="331"/>
      <c r="CL164" s="331"/>
      <c r="CM164" s="331"/>
      <c r="CN164" s="331"/>
      <c r="CO164" s="331"/>
      <c r="CP164" s="331"/>
      <c r="CQ164" s="331"/>
      <c r="CR164" s="331"/>
      <c r="CS164" s="331"/>
      <c r="CT164" s="331"/>
      <c r="CU164" s="331"/>
      <c r="CV164" s="331"/>
      <c r="CW164" s="331"/>
      <c r="CX164" s="331"/>
      <c r="CY164" s="331"/>
      <c r="CZ164" s="331"/>
      <c r="DA164" s="331"/>
      <c r="DB164" s="331"/>
      <c r="DC164" s="331"/>
      <c r="DD164" s="331"/>
      <c r="DE164" s="1"/>
      <c r="DF164" s="1"/>
      <c r="DG164" s="1"/>
      <c r="DH164" s="1"/>
      <c r="DI164" s="1"/>
      <c r="DJ164" s="1"/>
      <c r="DK164" s="1"/>
      <c r="DL164" s="1"/>
      <c r="DM164" s="1"/>
      <c r="DN164" s="1"/>
      <c r="DO164" s="1"/>
      <c r="DP164" s="1"/>
      <c r="DQ164" s="1"/>
    </row>
    <row r="165" spans="1:121" x14ac:dyDescent="0.2">
      <c r="A165" s="830"/>
      <c r="B165" s="832"/>
      <c r="C165" s="830"/>
      <c r="D165" s="103" t="s">
        <v>1605</v>
      </c>
      <c r="E165" s="443"/>
      <c r="F165" s="331"/>
      <c r="G165" s="331" t="s">
        <v>49</v>
      </c>
      <c r="H165" s="383" t="s">
        <v>328</v>
      </c>
      <c r="I165" s="383" t="s">
        <v>316</v>
      </c>
      <c r="J165" s="402">
        <v>45109</v>
      </c>
      <c r="K165" s="402">
        <v>46205</v>
      </c>
      <c r="L165" s="457" t="s">
        <v>493</v>
      </c>
      <c r="M165" s="355"/>
      <c r="N165" s="355"/>
      <c r="O165" s="355"/>
      <c r="P165" s="458"/>
      <c r="Q165" s="355"/>
      <c r="R165" s="355"/>
      <c r="S165" s="355"/>
      <c r="T165" s="355"/>
      <c r="U165" s="355"/>
      <c r="V165" s="355"/>
      <c r="W165" s="355"/>
      <c r="X165" s="355"/>
      <c r="Y165" s="355"/>
      <c r="Z165" s="459">
        <f t="shared" si="57"/>
        <v>0</v>
      </c>
      <c r="AA165" s="451">
        <f t="shared" si="54"/>
        <v>0</v>
      </c>
      <c r="AB165" s="451">
        <f t="shared" si="55"/>
        <v>0</v>
      </c>
      <c r="AC165" s="450" t="e">
        <f t="shared" si="56"/>
        <v>#VALUE!</v>
      </c>
      <c r="AD165" s="450"/>
      <c r="AE165" s="450"/>
      <c r="AF165" s="450"/>
      <c r="AG165" s="450"/>
      <c r="AH165" s="331"/>
      <c r="AI165" s="334">
        <v>36</v>
      </c>
      <c r="AJ165" s="334" t="s">
        <v>1304</v>
      </c>
      <c r="AK165" s="334">
        <v>0</v>
      </c>
      <c r="AL165" s="334">
        <v>0</v>
      </c>
      <c r="AM165" s="334" t="s">
        <v>53</v>
      </c>
      <c r="AN165" s="334" t="s">
        <v>53</v>
      </c>
      <c r="AO165" s="334" t="s">
        <v>53</v>
      </c>
      <c r="AP165" s="334" t="s">
        <v>54</v>
      </c>
      <c r="AQ165" s="331"/>
      <c r="AR165" s="357"/>
      <c r="AS165" s="357"/>
      <c r="AT165" s="357"/>
      <c r="AU165" s="357"/>
      <c r="AV165" s="357"/>
      <c r="AW165" s="357"/>
      <c r="AX165" s="357"/>
      <c r="AY165" s="357"/>
      <c r="AZ165" s="357"/>
      <c r="BA165" s="357"/>
      <c r="BB165" s="357"/>
      <c r="BC165" s="357"/>
      <c r="BD165" s="358"/>
      <c r="BE165" s="357"/>
      <c r="BF165" s="357"/>
      <c r="BG165" s="357"/>
      <c r="BH165" s="357"/>
      <c r="BI165" s="357"/>
      <c r="BJ165" s="357"/>
      <c r="BK165" s="357"/>
      <c r="BL165" s="357"/>
      <c r="BM165" s="357"/>
      <c r="BN165" s="357"/>
      <c r="BO165" s="357"/>
      <c r="BP165" s="357"/>
      <c r="BQ165" s="390"/>
      <c r="BR165" s="357"/>
      <c r="BS165" s="357"/>
      <c r="BT165" s="357"/>
      <c r="BU165" s="357"/>
      <c r="BV165" s="357"/>
      <c r="BW165" s="357"/>
      <c r="BX165" s="357"/>
      <c r="BY165" s="357"/>
      <c r="BZ165" s="357"/>
      <c r="CA165" s="357"/>
      <c r="CB165" s="357"/>
      <c r="CC165" s="357"/>
      <c r="CD165" s="357"/>
      <c r="CE165" s="331"/>
      <c r="CF165" s="331"/>
      <c r="CG165" s="331"/>
      <c r="CH165" s="331"/>
      <c r="CI165" s="331"/>
      <c r="CJ165" s="331"/>
      <c r="CK165" s="331"/>
      <c r="CL165" s="331"/>
      <c r="CM165" s="331"/>
      <c r="CN165" s="331"/>
      <c r="CO165" s="331"/>
      <c r="CP165" s="331"/>
      <c r="CQ165" s="331"/>
      <c r="CR165" s="331"/>
      <c r="CS165" s="331"/>
      <c r="CT165" s="331"/>
      <c r="CU165" s="331"/>
      <c r="CV165" s="331"/>
      <c r="CW165" s="331"/>
      <c r="CX165" s="331"/>
      <c r="CY165" s="331"/>
      <c r="CZ165" s="331"/>
      <c r="DA165" s="331"/>
      <c r="DB165" s="331"/>
      <c r="DC165" s="331"/>
      <c r="DD165" s="331"/>
      <c r="DE165" s="1"/>
      <c r="DF165" s="1"/>
      <c r="DG165" s="1"/>
      <c r="DH165" s="1"/>
      <c r="DI165" s="1"/>
      <c r="DJ165" s="1"/>
      <c r="DK165" s="1"/>
      <c r="DL165" s="1"/>
      <c r="DM165" s="1"/>
      <c r="DN165" s="1"/>
      <c r="DO165" s="1"/>
      <c r="DP165" s="1"/>
      <c r="DQ165" s="1"/>
    </row>
    <row r="166" spans="1:121" x14ac:dyDescent="0.2">
      <c r="A166" s="830"/>
      <c r="B166" s="832"/>
      <c r="C166" s="830"/>
      <c r="D166" s="103" t="s">
        <v>1606</v>
      </c>
      <c r="E166" s="531"/>
      <c r="F166" s="331"/>
      <c r="G166" s="331" t="s">
        <v>49</v>
      </c>
      <c r="H166" s="383" t="s">
        <v>328</v>
      </c>
      <c r="I166" s="383" t="s">
        <v>316</v>
      </c>
      <c r="J166" s="402">
        <v>45109</v>
      </c>
      <c r="K166" s="402">
        <v>46205</v>
      </c>
      <c r="L166" s="457" t="s">
        <v>493</v>
      </c>
      <c r="M166" s="355"/>
      <c r="N166" s="355"/>
      <c r="O166" s="355"/>
      <c r="P166" s="458"/>
      <c r="Q166" s="355"/>
      <c r="R166" s="355"/>
      <c r="S166" s="355"/>
      <c r="T166" s="355"/>
      <c r="U166" s="355"/>
      <c r="V166" s="355"/>
      <c r="W166" s="355"/>
      <c r="X166" s="355"/>
      <c r="Y166" s="355"/>
      <c r="Z166" s="459">
        <f t="shared" si="57"/>
        <v>0</v>
      </c>
      <c r="AA166" s="451">
        <f t="shared" si="54"/>
        <v>0</v>
      </c>
      <c r="AB166" s="451">
        <f t="shared" si="55"/>
        <v>0</v>
      </c>
      <c r="AC166" s="450" t="e">
        <f t="shared" si="56"/>
        <v>#VALUE!</v>
      </c>
      <c r="AD166" s="450"/>
      <c r="AE166" s="450"/>
      <c r="AF166" s="450"/>
      <c r="AG166" s="450"/>
      <c r="AH166" s="331"/>
      <c r="AI166" s="334">
        <v>36</v>
      </c>
      <c r="AJ166" s="334" t="s">
        <v>1304</v>
      </c>
      <c r="AK166" s="334">
        <v>0</v>
      </c>
      <c r="AL166" s="334">
        <v>0</v>
      </c>
      <c r="AM166" s="334" t="s">
        <v>53</v>
      </c>
      <c r="AN166" s="334" t="s">
        <v>53</v>
      </c>
      <c r="AO166" s="334" t="s">
        <v>53</v>
      </c>
      <c r="AP166" s="334" t="s">
        <v>54</v>
      </c>
      <c r="AQ166" s="331"/>
      <c r="AR166" s="357"/>
      <c r="AS166" s="357"/>
      <c r="AT166" s="357"/>
      <c r="AU166" s="357"/>
      <c r="AV166" s="357"/>
      <c r="AW166" s="357"/>
      <c r="AX166" s="357"/>
      <c r="AY166" s="357"/>
      <c r="AZ166" s="357"/>
      <c r="BA166" s="357"/>
      <c r="BB166" s="357"/>
      <c r="BC166" s="357"/>
      <c r="BD166" s="358"/>
      <c r="BE166" s="357"/>
      <c r="BF166" s="357"/>
      <c r="BG166" s="357"/>
      <c r="BH166" s="357"/>
      <c r="BI166" s="357"/>
      <c r="BJ166" s="357"/>
      <c r="BK166" s="357"/>
      <c r="BL166" s="357"/>
      <c r="BM166" s="357"/>
      <c r="BN166" s="357"/>
      <c r="BO166" s="357"/>
      <c r="BP166" s="357"/>
      <c r="BQ166" s="390"/>
      <c r="BR166" s="357"/>
      <c r="BS166" s="357"/>
      <c r="BT166" s="357"/>
      <c r="BU166" s="357"/>
      <c r="BV166" s="357"/>
      <c r="BW166" s="357"/>
      <c r="BX166" s="357"/>
      <c r="BY166" s="357"/>
      <c r="BZ166" s="357"/>
      <c r="CA166" s="357"/>
      <c r="CB166" s="357"/>
      <c r="CC166" s="357"/>
      <c r="CD166" s="357"/>
      <c r="CE166" s="331"/>
      <c r="CF166" s="331"/>
      <c r="CG166" s="331"/>
      <c r="CH166" s="331"/>
      <c r="CI166" s="331"/>
      <c r="CJ166" s="331"/>
      <c r="CK166" s="331"/>
      <c r="CL166" s="331"/>
      <c r="CM166" s="331"/>
      <c r="CN166" s="331"/>
      <c r="CO166" s="331"/>
      <c r="CP166" s="331"/>
      <c r="CQ166" s="331"/>
      <c r="CR166" s="331"/>
      <c r="CS166" s="331"/>
      <c r="CT166" s="331"/>
      <c r="CU166" s="331"/>
      <c r="CV166" s="331"/>
      <c r="CW166" s="331"/>
      <c r="CX166" s="331"/>
      <c r="CY166" s="331"/>
      <c r="CZ166" s="331"/>
      <c r="DA166" s="331"/>
      <c r="DB166" s="331"/>
      <c r="DC166" s="331"/>
      <c r="DD166" s="331"/>
      <c r="DE166" s="1"/>
      <c r="DF166" s="1"/>
      <c r="DG166" s="1"/>
      <c r="DH166" s="1"/>
      <c r="DI166" s="1"/>
      <c r="DJ166" s="1"/>
      <c r="DK166" s="1"/>
      <c r="DL166" s="1"/>
      <c r="DM166" s="1"/>
      <c r="DN166" s="1"/>
      <c r="DO166" s="1"/>
      <c r="DP166" s="1"/>
      <c r="DQ166" s="1"/>
    </row>
    <row r="167" spans="1:121" x14ac:dyDescent="0.2">
      <c r="A167" s="830"/>
      <c r="B167" s="832"/>
      <c r="C167" s="830"/>
      <c r="D167" s="103" t="s">
        <v>1607</v>
      </c>
      <c r="E167" s="443"/>
      <c r="F167" s="331"/>
      <c r="G167" s="331" t="s">
        <v>49</v>
      </c>
      <c r="H167" s="383" t="s">
        <v>328</v>
      </c>
      <c r="I167" s="383" t="s">
        <v>316</v>
      </c>
      <c r="J167" s="402">
        <v>45109</v>
      </c>
      <c r="K167" s="402">
        <v>46205</v>
      </c>
      <c r="L167" s="457" t="s">
        <v>493</v>
      </c>
      <c r="M167" s="355"/>
      <c r="N167" s="355"/>
      <c r="O167" s="355"/>
      <c r="P167" s="458"/>
      <c r="Q167" s="355"/>
      <c r="R167" s="355"/>
      <c r="S167" s="355"/>
      <c r="T167" s="355"/>
      <c r="U167" s="355"/>
      <c r="V167" s="355"/>
      <c r="W167" s="355"/>
      <c r="X167" s="355"/>
      <c r="Y167" s="355"/>
      <c r="Z167" s="459">
        <f t="shared" si="57"/>
        <v>0</v>
      </c>
      <c r="AA167" s="451">
        <f t="shared" si="54"/>
        <v>0</v>
      </c>
      <c r="AB167" s="451">
        <f t="shared" si="55"/>
        <v>0</v>
      </c>
      <c r="AC167" s="450" t="e">
        <f t="shared" si="56"/>
        <v>#VALUE!</v>
      </c>
      <c r="AD167" s="450"/>
      <c r="AE167" s="450"/>
      <c r="AF167" s="450"/>
      <c r="AG167" s="450"/>
      <c r="AH167" s="331"/>
      <c r="AI167" s="334">
        <v>36</v>
      </c>
      <c r="AJ167" s="334" t="s">
        <v>1304</v>
      </c>
      <c r="AK167" s="334">
        <v>0</v>
      </c>
      <c r="AL167" s="334">
        <v>0</v>
      </c>
      <c r="AM167" s="334" t="s">
        <v>53</v>
      </c>
      <c r="AN167" s="334" t="s">
        <v>53</v>
      </c>
      <c r="AO167" s="334" t="s">
        <v>53</v>
      </c>
      <c r="AP167" s="334" t="s">
        <v>54</v>
      </c>
      <c r="AQ167" s="331"/>
      <c r="AR167" s="357"/>
      <c r="AS167" s="357"/>
      <c r="AT167" s="357"/>
      <c r="AU167" s="357"/>
      <c r="AV167" s="357"/>
      <c r="AW167" s="357"/>
      <c r="AX167" s="357"/>
      <c r="AY167" s="357"/>
      <c r="AZ167" s="357"/>
      <c r="BA167" s="357"/>
      <c r="BB167" s="357"/>
      <c r="BC167" s="357"/>
      <c r="BD167" s="358"/>
      <c r="BE167" s="357"/>
      <c r="BF167" s="357"/>
      <c r="BG167" s="357"/>
      <c r="BH167" s="357"/>
      <c r="BI167" s="357"/>
      <c r="BJ167" s="357"/>
      <c r="BK167" s="357"/>
      <c r="BL167" s="357"/>
      <c r="BM167" s="357"/>
      <c r="BN167" s="357"/>
      <c r="BO167" s="357"/>
      <c r="BP167" s="357"/>
      <c r="BQ167" s="390"/>
      <c r="BR167" s="357"/>
      <c r="BS167" s="357"/>
      <c r="BT167" s="357"/>
      <c r="BU167" s="357"/>
      <c r="BV167" s="357"/>
      <c r="BW167" s="357"/>
      <c r="BX167" s="357"/>
      <c r="BY167" s="357"/>
      <c r="BZ167" s="357"/>
      <c r="CA167" s="357"/>
      <c r="CB167" s="357"/>
      <c r="CC167" s="357"/>
      <c r="CD167" s="357"/>
      <c r="CE167" s="331"/>
      <c r="CF167" s="331"/>
      <c r="CG167" s="331"/>
      <c r="CH167" s="331"/>
      <c r="CI167" s="331"/>
      <c r="CJ167" s="331"/>
      <c r="CK167" s="331"/>
      <c r="CL167" s="331"/>
      <c r="CM167" s="331"/>
      <c r="CN167" s="331"/>
      <c r="CO167" s="331"/>
      <c r="CP167" s="331"/>
      <c r="CQ167" s="331"/>
      <c r="CR167" s="331"/>
      <c r="CS167" s="331"/>
      <c r="CT167" s="331"/>
      <c r="CU167" s="331"/>
      <c r="CV167" s="331"/>
      <c r="CW167" s="331"/>
      <c r="CX167" s="331"/>
      <c r="CY167" s="331"/>
      <c r="CZ167" s="331"/>
      <c r="DA167" s="331"/>
      <c r="DB167" s="331"/>
      <c r="DC167" s="331"/>
      <c r="DD167" s="331"/>
      <c r="DE167" s="1"/>
      <c r="DF167" s="1"/>
      <c r="DG167" s="1"/>
      <c r="DH167" s="1"/>
      <c r="DI167" s="1"/>
      <c r="DJ167" s="1"/>
      <c r="DK167" s="1"/>
      <c r="DL167" s="1"/>
      <c r="DM167" s="1"/>
      <c r="DN167" s="1"/>
      <c r="DO167" s="1"/>
      <c r="DP167" s="1"/>
      <c r="DQ167" s="1"/>
    </row>
    <row r="168" spans="1:121" x14ac:dyDescent="0.2">
      <c r="A168" s="830"/>
      <c r="B168" s="832"/>
      <c r="C168" s="830"/>
      <c r="D168" s="103" t="s">
        <v>503</v>
      </c>
      <c r="E168" s="443"/>
      <c r="F168" s="331"/>
      <c r="G168" s="331" t="s">
        <v>49</v>
      </c>
      <c r="H168" s="383" t="s">
        <v>328</v>
      </c>
      <c r="I168" s="383" t="s">
        <v>316</v>
      </c>
      <c r="J168" s="402">
        <v>45109</v>
      </c>
      <c r="K168" s="402">
        <v>46205</v>
      </c>
      <c r="L168" s="457" t="s">
        <v>493</v>
      </c>
      <c r="M168" s="355"/>
      <c r="N168" s="355"/>
      <c r="O168" s="355"/>
      <c r="P168" s="458"/>
      <c r="Q168" s="355"/>
      <c r="R168" s="355"/>
      <c r="S168" s="355"/>
      <c r="T168" s="355"/>
      <c r="U168" s="355"/>
      <c r="V168" s="355"/>
      <c r="W168" s="355"/>
      <c r="X168" s="355"/>
      <c r="Y168" s="355"/>
      <c r="Z168" s="459">
        <f t="shared" si="57"/>
        <v>0</v>
      </c>
      <c r="AA168" s="451">
        <f t="shared" si="54"/>
        <v>0</v>
      </c>
      <c r="AB168" s="451">
        <f t="shared" si="55"/>
        <v>0</v>
      </c>
      <c r="AC168" s="450" t="e">
        <f t="shared" si="56"/>
        <v>#VALUE!</v>
      </c>
      <c r="AD168" s="450"/>
      <c r="AE168" s="450"/>
      <c r="AF168" s="450"/>
      <c r="AG168" s="450"/>
      <c r="AH168" s="331"/>
      <c r="AI168" s="334">
        <v>36</v>
      </c>
      <c r="AJ168" s="334" t="s">
        <v>1304</v>
      </c>
      <c r="AK168" s="334">
        <v>0</v>
      </c>
      <c r="AL168" s="334">
        <v>0</v>
      </c>
      <c r="AM168" s="334" t="s">
        <v>53</v>
      </c>
      <c r="AN168" s="334" t="s">
        <v>53</v>
      </c>
      <c r="AO168" s="334" t="s">
        <v>53</v>
      </c>
      <c r="AP168" s="334" t="s">
        <v>54</v>
      </c>
      <c r="AQ168" s="331"/>
      <c r="AR168" s="357"/>
      <c r="AS168" s="357"/>
      <c r="AT168" s="357"/>
      <c r="AU168" s="357"/>
      <c r="AV168" s="357"/>
      <c r="AW168" s="357"/>
      <c r="AX168" s="357"/>
      <c r="AY168" s="357"/>
      <c r="AZ168" s="357"/>
      <c r="BA168" s="357"/>
      <c r="BB168" s="357"/>
      <c r="BC168" s="357"/>
      <c r="BD168" s="358"/>
      <c r="BE168" s="357"/>
      <c r="BF168" s="357"/>
      <c r="BG168" s="357"/>
      <c r="BH168" s="357"/>
      <c r="BI168" s="357"/>
      <c r="BJ168" s="357"/>
      <c r="BK168" s="357"/>
      <c r="BL168" s="357"/>
      <c r="BM168" s="357"/>
      <c r="BN168" s="357"/>
      <c r="BO168" s="357"/>
      <c r="BP168" s="357"/>
      <c r="BQ168" s="390"/>
      <c r="BR168" s="357"/>
      <c r="BS168" s="357"/>
      <c r="BT168" s="357"/>
      <c r="BU168" s="357"/>
      <c r="BV168" s="357"/>
      <c r="BW168" s="357"/>
      <c r="BX168" s="357"/>
      <c r="BY168" s="357"/>
      <c r="BZ168" s="357"/>
      <c r="CA168" s="357"/>
      <c r="CB168" s="357"/>
      <c r="CC168" s="357"/>
      <c r="CD168" s="357"/>
      <c r="CE168" s="331"/>
      <c r="CF168" s="331"/>
      <c r="CG168" s="331"/>
      <c r="CH168" s="331"/>
      <c r="CI168" s="331"/>
      <c r="CJ168" s="331"/>
      <c r="CK168" s="331"/>
      <c r="CL168" s="331"/>
      <c r="CM168" s="331"/>
      <c r="CN168" s="331"/>
      <c r="CO168" s="331"/>
      <c r="CP168" s="331"/>
      <c r="CQ168" s="331"/>
      <c r="CR168" s="331"/>
      <c r="CS168" s="331"/>
      <c r="CT168" s="331"/>
      <c r="CU168" s="331"/>
      <c r="CV168" s="331"/>
      <c r="CW168" s="331"/>
      <c r="CX168" s="331"/>
      <c r="CY168" s="331"/>
      <c r="CZ168" s="331"/>
      <c r="DA168" s="331"/>
      <c r="DB168" s="331"/>
      <c r="DC168" s="331"/>
      <c r="DD168" s="331"/>
      <c r="DE168" s="1"/>
      <c r="DF168" s="1"/>
      <c r="DG168" s="1"/>
      <c r="DH168" s="1"/>
      <c r="DI168" s="1"/>
      <c r="DJ168" s="1"/>
      <c r="DK168" s="1"/>
      <c r="DL168" s="1"/>
      <c r="DM168" s="1"/>
      <c r="DN168" s="1"/>
      <c r="DO168" s="1"/>
      <c r="DP168" s="1"/>
      <c r="DQ168" s="1"/>
    </row>
    <row r="169" spans="1:121" x14ac:dyDescent="0.2">
      <c r="A169" s="830"/>
      <c r="B169" s="832"/>
      <c r="C169" s="830"/>
      <c r="D169" s="103" t="s">
        <v>1608</v>
      </c>
      <c r="E169" s="531"/>
      <c r="F169" s="331"/>
      <c r="G169" s="331" t="s">
        <v>49</v>
      </c>
      <c r="H169" s="383" t="s">
        <v>328</v>
      </c>
      <c r="I169" s="383" t="s">
        <v>316</v>
      </c>
      <c r="J169" s="402">
        <v>45109</v>
      </c>
      <c r="K169" s="402">
        <v>46205</v>
      </c>
      <c r="L169" s="457" t="s">
        <v>493</v>
      </c>
      <c r="M169" s="355"/>
      <c r="N169" s="355"/>
      <c r="O169" s="355"/>
      <c r="P169" s="458"/>
      <c r="Q169" s="355"/>
      <c r="R169" s="355"/>
      <c r="S169" s="355"/>
      <c r="T169" s="355"/>
      <c r="U169" s="355"/>
      <c r="V169" s="355"/>
      <c r="W169" s="355"/>
      <c r="X169" s="355"/>
      <c r="Y169" s="355"/>
      <c r="Z169" s="459">
        <f t="shared" si="57"/>
        <v>0</v>
      </c>
      <c r="AA169" s="451">
        <f t="shared" si="54"/>
        <v>0</v>
      </c>
      <c r="AB169" s="451">
        <f t="shared" si="55"/>
        <v>0</v>
      </c>
      <c r="AC169" s="450" t="e">
        <f t="shared" si="56"/>
        <v>#VALUE!</v>
      </c>
      <c r="AD169" s="450"/>
      <c r="AE169" s="450"/>
      <c r="AF169" s="450"/>
      <c r="AG169" s="450"/>
      <c r="AH169" s="331"/>
      <c r="AI169" s="334">
        <v>36</v>
      </c>
      <c r="AJ169" s="334" t="s">
        <v>1304</v>
      </c>
      <c r="AK169" s="334">
        <v>0</v>
      </c>
      <c r="AL169" s="334">
        <v>0</v>
      </c>
      <c r="AM169" s="334" t="s">
        <v>53</v>
      </c>
      <c r="AN169" s="334" t="s">
        <v>53</v>
      </c>
      <c r="AO169" s="334" t="s">
        <v>53</v>
      </c>
      <c r="AP169" s="334" t="s">
        <v>54</v>
      </c>
      <c r="AQ169" s="331"/>
      <c r="AR169" s="357"/>
      <c r="AS169" s="357"/>
      <c r="AT169" s="357"/>
      <c r="AU169" s="357"/>
      <c r="AV169" s="357"/>
      <c r="AW169" s="357"/>
      <c r="AX169" s="357"/>
      <c r="AY169" s="357"/>
      <c r="AZ169" s="357"/>
      <c r="BA169" s="357"/>
      <c r="BB169" s="357"/>
      <c r="BC169" s="357"/>
      <c r="BD169" s="358"/>
      <c r="BE169" s="357"/>
      <c r="BF169" s="357"/>
      <c r="BG169" s="357"/>
      <c r="BH169" s="357"/>
      <c r="BI169" s="357"/>
      <c r="BJ169" s="357"/>
      <c r="BK169" s="357"/>
      <c r="BL169" s="357"/>
      <c r="BM169" s="357"/>
      <c r="BN169" s="357"/>
      <c r="BO169" s="357"/>
      <c r="BP169" s="357"/>
      <c r="BQ169" s="390"/>
      <c r="BR169" s="357"/>
      <c r="BS169" s="357"/>
      <c r="BT169" s="357"/>
      <c r="BU169" s="357"/>
      <c r="BV169" s="357"/>
      <c r="BW169" s="357"/>
      <c r="BX169" s="357"/>
      <c r="BY169" s="357"/>
      <c r="BZ169" s="357"/>
      <c r="CA169" s="357"/>
      <c r="CB169" s="357"/>
      <c r="CC169" s="357"/>
      <c r="CD169" s="357"/>
      <c r="CE169" s="331"/>
      <c r="CF169" s="331"/>
      <c r="CG169" s="331"/>
      <c r="CH169" s="331"/>
      <c r="CI169" s="331"/>
      <c r="CJ169" s="331"/>
      <c r="CK169" s="331"/>
      <c r="CL169" s="331"/>
      <c r="CM169" s="331"/>
      <c r="CN169" s="331"/>
      <c r="CO169" s="331"/>
      <c r="CP169" s="331"/>
      <c r="CQ169" s="331"/>
      <c r="CR169" s="331"/>
      <c r="CS169" s="331"/>
      <c r="CT169" s="331"/>
      <c r="CU169" s="331"/>
      <c r="CV169" s="331"/>
      <c r="CW169" s="331"/>
      <c r="CX169" s="331"/>
      <c r="CY169" s="331"/>
      <c r="CZ169" s="331"/>
      <c r="DA169" s="331"/>
      <c r="DB169" s="331"/>
      <c r="DC169" s="331"/>
      <c r="DD169" s="331"/>
      <c r="DE169" s="1"/>
      <c r="DF169" s="1"/>
      <c r="DG169" s="1"/>
      <c r="DH169" s="1"/>
      <c r="DI169" s="1"/>
      <c r="DJ169" s="1"/>
      <c r="DK169" s="1"/>
      <c r="DL169" s="1"/>
      <c r="DM169" s="1"/>
      <c r="DN169" s="1"/>
      <c r="DO169" s="1"/>
      <c r="DP169" s="1"/>
      <c r="DQ169" s="1"/>
    </row>
    <row r="170" spans="1:121" x14ac:dyDescent="0.2">
      <c r="A170" s="830"/>
      <c r="B170" s="832"/>
      <c r="C170" s="830"/>
      <c r="D170" s="103" t="s">
        <v>264</v>
      </c>
      <c r="E170" s="531"/>
      <c r="F170" s="331"/>
      <c r="G170" s="331" t="s">
        <v>49</v>
      </c>
      <c r="H170" s="383" t="s">
        <v>328</v>
      </c>
      <c r="I170" s="383" t="s">
        <v>316</v>
      </c>
      <c r="J170" s="402">
        <v>45109</v>
      </c>
      <c r="K170" s="402">
        <v>46205</v>
      </c>
      <c r="L170" s="457" t="s">
        <v>493</v>
      </c>
      <c r="M170" s="355"/>
      <c r="N170" s="355"/>
      <c r="O170" s="355"/>
      <c r="P170" s="458"/>
      <c r="Q170" s="355"/>
      <c r="R170" s="355"/>
      <c r="S170" s="355"/>
      <c r="T170" s="355"/>
      <c r="U170" s="355"/>
      <c r="V170" s="355"/>
      <c r="W170" s="355"/>
      <c r="X170" s="355"/>
      <c r="Y170" s="355"/>
      <c r="Z170" s="459">
        <f t="shared" si="57"/>
        <v>0</v>
      </c>
      <c r="AA170" s="451">
        <f t="shared" si="54"/>
        <v>0</v>
      </c>
      <c r="AB170" s="451">
        <f t="shared" si="55"/>
        <v>0</v>
      </c>
      <c r="AC170" s="450" t="e">
        <f t="shared" si="56"/>
        <v>#VALUE!</v>
      </c>
      <c r="AD170" s="450"/>
      <c r="AE170" s="450"/>
      <c r="AF170" s="450"/>
      <c r="AG170" s="450"/>
      <c r="AH170" s="331"/>
      <c r="AI170" s="334">
        <v>36</v>
      </c>
      <c r="AJ170" s="334" t="s">
        <v>1304</v>
      </c>
      <c r="AK170" s="334">
        <v>0</v>
      </c>
      <c r="AL170" s="334">
        <v>0</v>
      </c>
      <c r="AM170" s="334" t="s">
        <v>53</v>
      </c>
      <c r="AN170" s="334" t="s">
        <v>53</v>
      </c>
      <c r="AO170" s="334" t="s">
        <v>53</v>
      </c>
      <c r="AP170" s="334" t="s">
        <v>54</v>
      </c>
      <c r="AQ170" s="331"/>
      <c r="AR170" s="357"/>
      <c r="AS170" s="357"/>
      <c r="AT170" s="357"/>
      <c r="AU170" s="357"/>
      <c r="AV170" s="357"/>
      <c r="AW170" s="357"/>
      <c r="AX170" s="357"/>
      <c r="AY170" s="357"/>
      <c r="AZ170" s="357"/>
      <c r="BA170" s="357"/>
      <c r="BB170" s="357"/>
      <c r="BC170" s="357"/>
      <c r="BD170" s="358"/>
      <c r="BE170" s="357"/>
      <c r="BF170" s="357"/>
      <c r="BG170" s="357"/>
      <c r="BH170" s="357"/>
      <c r="BI170" s="357"/>
      <c r="BJ170" s="357"/>
      <c r="BK170" s="357"/>
      <c r="BL170" s="357"/>
      <c r="BM170" s="357"/>
      <c r="BN170" s="357"/>
      <c r="BO170" s="357"/>
      <c r="BP170" s="357"/>
      <c r="BQ170" s="390"/>
      <c r="BR170" s="357"/>
      <c r="BS170" s="357"/>
      <c r="BT170" s="357"/>
      <c r="BU170" s="357"/>
      <c r="BV170" s="357"/>
      <c r="BW170" s="357"/>
      <c r="BX170" s="357"/>
      <c r="BY170" s="357"/>
      <c r="BZ170" s="357"/>
      <c r="CA170" s="357"/>
      <c r="CB170" s="357"/>
      <c r="CC170" s="357"/>
      <c r="CD170" s="357"/>
      <c r="CE170" s="331"/>
      <c r="CF170" s="331"/>
      <c r="CG170" s="331"/>
      <c r="CH170" s="331"/>
      <c r="CI170" s="331"/>
      <c r="CJ170" s="331"/>
      <c r="CK170" s="331"/>
      <c r="CL170" s="331"/>
      <c r="CM170" s="331"/>
      <c r="CN170" s="331"/>
      <c r="CO170" s="331"/>
      <c r="CP170" s="331"/>
      <c r="CQ170" s="331"/>
      <c r="CR170" s="331"/>
      <c r="CS170" s="331"/>
      <c r="CT170" s="331"/>
      <c r="CU170" s="331"/>
      <c r="CV170" s="331"/>
      <c r="CW170" s="331"/>
      <c r="CX170" s="331"/>
      <c r="CY170" s="331"/>
      <c r="CZ170" s="331"/>
      <c r="DA170" s="331"/>
      <c r="DB170" s="331"/>
      <c r="DC170" s="331"/>
      <c r="DD170" s="331"/>
      <c r="DE170" s="1"/>
      <c r="DF170" s="1"/>
      <c r="DG170" s="1"/>
      <c r="DH170" s="1"/>
      <c r="DI170" s="1"/>
      <c r="DJ170" s="1"/>
      <c r="DK170" s="1"/>
      <c r="DL170" s="1"/>
      <c r="DM170" s="1"/>
      <c r="DN170" s="1"/>
      <c r="DO170" s="1"/>
      <c r="DP170" s="1"/>
      <c r="DQ170" s="1"/>
    </row>
    <row r="171" spans="1:121" x14ac:dyDescent="0.2">
      <c r="A171" s="830"/>
      <c r="B171" s="832"/>
      <c r="C171" s="830"/>
      <c r="D171" s="103" t="s">
        <v>1609</v>
      </c>
      <c r="E171" s="531"/>
      <c r="F171" s="331"/>
      <c r="G171" s="331" t="s">
        <v>49</v>
      </c>
      <c r="H171" s="383" t="s">
        <v>328</v>
      </c>
      <c r="I171" s="383" t="s">
        <v>316</v>
      </c>
      <c r="J171" s="402">
        <v>45109</v>
      </c>
      <c r="K171" s="402">
        <v>46205</v>
      </c>
      <c r="L171" s="457" t="s">
        <v>493</v>
      </c>
      <c r="M171" s="355"/>
      <c r="N171" s="355"/>
      <c r="O171" s="355"/>
      <c r="P171" s="458"/>
      <c r="Q171" s="355"/>
      <c r="R171" s="355"/>
      <c r="S171" s="355"/>
      <c r="T171" s="355"/>
      <c r="U171" s="355"/>
      <c r="V171" s="355"/>
      <c r="W171" s="355"/>
      <c r="X171" s="355"/>
      <c r="Y171" s="355"/>
      <c r="Z171" s="459">
        <f t="shared" si="57"/>
        <v>0</v>
      </c>
      <c r="AA171" s="451">
        <f t="shared" si="54"/>
        <v>0</v>
      </c>
      <c r="AB171" s="451">
        <f t="shared" si="55"/>
        <v>0</v>
      </c>
      <c r="AC171" s="450" t="e">
        <f t="shared" si="56"/>
        <v>#VALUE!</v>
      </c>
      <c r="AD171" s="450"/>
      <c r="AE171" s="450"/>
      <c r="AF171" s="450"/>
      <c r="AG171" s="450"/>
      <c r="AH171" s="331"/>
      <c r="AI171" s="334">
        <v>36</v>
      </c>
      <c r="AJ171" s="334" t="s">
        <v>1304</v>
      </c>
      <c r="AK171" s="334">
        <v>0</v>
      </c>
      <c r="AL171" s="334">
        <v>0</v>
      </c>
      <c r="AM171" s="334" t="s">
        <v>53</v>
      </c>
      <c r="AN171" s="334" t="s">
        <v>53</v>
      </c>
      <c r="AO171" s="334" t="s">
        <v>53</v>
      </c>
      <c r="AP171" s="334" t="s">
        <v>54</v>
      </c>
      <c r="AQ171" s="331"/>
      <c r="AR171" s="357"/>
      <c r="AS171" s="357"/>
      <c r="AT171" s="357"/>
      <c r="AU171" s="357"/>
      <c r="AV171" s="357"/>
      <c r="AW171" s="357"/>
      <c r="AX171" s="357"/>
      <c r="AY171" s="357"/>
      <c r="AZ171" s="357"/>
      <c r="BA171" s="357"/>
      <c r="BB171" s="357"/>
      <c r="BC171" s="357"/>
      <c r="BD171" s="358"/>
      <c r="BE171" s="357"/>
      <c r="BF171" s="357"/>
      <c r="BG171" s="357"/>
      <c r="BH171" s="357"/>
      <c r="BI171" s="357"/>
      <c r="BJ171" s="357"/>
      <c r="BK171" s="357"/>
      <c r="BL171" s="357"/>
      <c r="BM171" s="357"/>
      <c r="BN171" s="357"/>
      <c r="BO171" s="357"/>
      <c r="BP171" s="357"/>
      <c r="BQ171" s="390"/>
      <c r="BR171" s="357"/>
      <c r="BS171" s="357"/>
      <c r="BT171" s="357"/>
      <c r="BU171" s="357"/>
      <c r="BV171" s="357"/>
      <c r="BW171" s="357"/>
      <c r="BX171" s="357"/>
      <c r="BY171" s="357"/>
      <c r="BZ171" s="357"/>
      <c r="CA171" s="357"/>
      <c r="CB171" s="357"/>
      <c r="CC171" s="357"/>
      <c r="CD171" s="357"/>
      <c r="CE171" s="331"/>
      <c r="CF171" s="331"/>
      <c r="CG171" s="331"/>
      <c r="CH171" s="331"/>
      <c r="CI171" s="331"/>
      <c r="CJ171" s="331"/>
      <c r="CK171" s="331"/>
      <c r="CL171" s="331"/>
      <c r="CM171" s="331"/>
      <c r="CN171" s="331"/>
      <c r="CO171" s="331"/>
      <c r="CP171" s="331"/>
      <c r="CQ171" s="331"/>
      <c r="CR171" s="331"/>
      <c r="CS171" s="331"/>
      <c r="CT171" s="331"/>
      <c r="CU171" s="331"/>
      <c r="CV171" s="331"/>
      <c r="CW171" s="331"/>
      <c r="CX171" s="331"/>
      <c r="CY171" s="331"/>
      <c r="CZ171" s="331"/>
      <c r="DA171" s="331"/>
      <c r="DB171" s="331"/>
      <c r="DC171" s="331"/>
      <c r="DD171" s="331"/>
      <c r="DE171" s="1"/>
      <c r="DF171" s="1"/>
      <c r="DG171" s="1"/>
      <c r="DH171" s="1"/>
      <c r="DI171" s="1"/>
      <c r="DJ171" s="1"/>
      <c r="DK171" s="1"/>
      <c r="DL171" s="1"/>
      <c r="DM171" s="1"/>
      <c r="DN171" s="1"/>
      <c r="DO171" s="1"/>
      <c r="DP171" s="1"/>
      <c r="DQ171" s="1"/>
    </row>
    <row r="172" spans="1:121" x14ac:dyDescent="0.2">
      <c r="A172" s="830"/>
      <c r="B172" s="832"/>
      <c r="C172" s="830"/>
      <c r="D172" s="103" t="s">
        <v>1610</v>
      </c>
      <c r="E172" s="443"/>
      <c r="F172" s="331"/>
      <c r="G172" s="331" t="s">
        <v>49</v>
      </c>
      <c r="H172" s="383" t="s">
        <v>328</v>
      </c>
      <c r="I172" s="383" t="s">
        <v>316</v>
      </c>
      <c r="J172" s="402">
        <v>45109</v>
      </c>
      <c r="K172" s="402">
        <v>46205</v>
      </c>
      <c r="L172" s="457" t="s">
        <v>493</v>
      </c>
      <c r="M172" s="355"/>
      <c r="N172" s="355"/>
      <c r="O172" s="355"/>
      <c r="P172" s="458"/>
      <c r="Q172" s="355"/>
      <c r="R172" s="355"/>
      <c r="S172" s="355"/>
      <c r="T172" s="355"/>
      <c r="U172" s="355"/>
      <c r="V172" s="355"/>
      <c r="W172" s="355"/>
      <c r="X172" s="355"/>
      <c r="Y172" s="355"/>
      <c r="Z172" s="459">
        <f t="shared" si="57"/>
        <v>0</v>
      </c>
      <c r="AA172" s="451">
        <f t="shared" si="54"/>
        <v>0</v>
      </c>
      <c r="AB172" s="451">
        <f t="shared" si="55"/>
        <v>0</v>
      </c>
      <c r="AC172" s="450" t="e">
        <f t="shared" si="56"/>
        <v>#VALUE!</v>
      </c>
      <c r="AD172" s="450"/>
      <c r="AE172" s="450"/>
      <c r="AF172" s="450"/>
      <c r="AG172" s="450"/>
      <c r="AH172" s="331"/>
      <c r="AI172" s="334">
        <v>36</v>
      </c>
      <c r="AJ172" s="334" t="s">
        <v>1304</v>
      </c>
      <c r="AK172" s="334">
        <v>0</v>
      </c>
      <c r="AL172" s="334">
        <v>0</v>
      </c>
      <c r="AM172" s="334" t="s">
        <v>53</v>
      </c>
      <c r="AN172" s="334" t="s">
        <v>53</v>
      </c>
      <c r="AO172" s="334" t="s">
        <v>53</v>
      </c>
      <c r="AP172" s="334" t="s">
        <v>54</v>
      </c>
      <c r="AQ172" s="331"/>
      <c r="AR172" s="357"/>
      <c r="AS172" s="357"/>
      <c r="AT172" s="357"/>
      <c r="AU172" s="357"/>
      <c r="AV172" s="357"/>
      <c r="AW172" s="357"/>
      <c r="AX172" s="357"/>
      <c r="AY172" s="357"/>
      <c r="AZ172" s="357"/>
      <c r="BA172" s="357"/>
      <c r="BB172" s="357"/>
      <c r="BC172" s="357"/>
      <c r="BD172" s="358"/>
      <c r="BE172" s="357"/>
      <c r="BF172" s="357"/>
      <c r="BG172" s="357"/>
      <c r="BH172" s="357"/>
      <c r="BI172" s="357"/>
      <c r="BJ172" s="357"/>
      <c r="BK172" s="357"/>
      <c r="BL172" s="357"/>
      <c r="BM172" s="357"/>
      <c r="BN172" s="357"/>
      <c r="BO172" s="357"/>
      <c r="BP172" s="357"/>
      <c r="BQ172" s="390"/>
      <c r="BR172" s="357"/>
      <c r="BS172" s="357"/>
      <c r="BT172" s="357"/>
      <c r="BU172" s="357"/>
      <c r="BV172" s="357"/>
      <c r="BW172" s="357"/>
      <c r="BX172" s="357"/>
      <c r="BY172" s="357"/>
      <c r="BZ172" s="357"/>
      <c r="CA172" s="357"/>
      <c r="CB172" s="357"/>
      <c r="CC172" s="357"/>
      <c r="CD172" s="357"/>
      <c r="CE172" s="331"/>
      <c r="CF172" s="331"/>
      <c r="CG172" s="331"/>
      <c r="CH172" s="331"/>
      <c r="CI172" s="331"/>
      <c r="CJ172" s="331"/>
      <c r="CK172" s="331"/>
      <c r="CL172" s="331"/>
      <c r="CM172" s="331"/>
      <c r="CN172" s="331"/>
      <c r="CO172" s="331"/>
      <c r="CP172" s="331"/>
      <c r="CQ172" s="331"/>
      <c r="CR172" s="331"/>
      <c r="CS172" s="331"/>
      <c r="CT172" s="331"/>
      <c r="CU172" s="331"/>
      <c r="CV172" s="331"/>
      <c r="CW172" s="331"/>
      <c r="CX172" s="331"/>
      <c r="CY172" s="331"/>
      <c r="CZ172" s="331"/>
      <c r="DA172" s="331"/>
      <c r="DB172" s="331"/>
      <c r="DC172" s="331"/>
      <c r="DD172" s="331"/>
      <c r="DE172" s="1"/>
      <c r="DF172" s="1"/>
      <c r="DG172" s="1"/>
      <c r="DH172" s="1"/>
      <c r="DI172" s="1"/>
      <c r="DJ172" s="1"/>
      <c r="DK172" s="1"/>
      <c r="DL172" s="1"/>
      <c r="DM172" s="1"/>
      <c r="DN172" s="1"/>
      <c r="DO172" s="1"/>
      <c r="DP172" s="1"/>
      <c r="DQ172" s="1"/>
    </row>
    <row r="173" spans="1:121" x14ac:dyDescent="0.2">
      <c r="A173" s="830"/>
      <c r="B173" s="832"/>
      <c r="C173" s="830"/>
      <c r="D173" s="103" t="s">
        <v>1611</v>
      </c>
      <c r="E173" s="531"/>
      <c r="F173" s="331"/>
      <c r="G173" s="331" t="s">
        <v>49</v>
      </c>
      <c r="H173" s="383" t="s">
        <v>328</v>
      </c>
      <c r="I173" s="383" t="s">
        <v>316</v>
      </c>
      <c r="J173" s="402">
        <v>45109</v>
      </c>
      <c r="K173" s="402">
        <v>46205</v>
      </c>
      <c r="L173" s="457" t="s">
        <v>493</v>
      </c>
      <c r="M173" s="355"/>
      <c r="N173" s="355"/>
      <c r="O173" s="355"/>
      <c r="P173" s="458"/>
      <c r="Q173" s="355"/>
      <c r="R173" s="355"/>
      <c r="S173" s="355"/>
      <c r="T173" s="355"/>
      <c r="U173" s="355"/>
      <c r="V173" s="355"/>
      <c r="W173" s="355"/>
      <c r="X173" s="355"/>
      <c r="Y173" s="355"/>
      <c r="Z173" s="459">
        <f t="shared" si="57"/>
        <v>0</v>
      </c>
      <c r="AA173" s="451">
        <f t="shared" si="54"/>
        <v>0</v>
      </c>
      <c r="AB173" s="451">
        <f t="shared" si="55"/>
        <v>0</v>
      </c>
      <c r="AC173" s="450" t="e">
        <f t="shared" si="56"/>
        <v>#VALUE!</v>
      </c>
      <c r="AD173" s="450"/>
      <c r="AE173" s="450"/>
      <c r="AF173" s="450"/>
      <c r="AG173" s="450"/>
      <c r="AH173" s="331"/>
      <c r="AI173" s="334">
        <v>36</v>
      </c>
      <c r="AJ173" s="334" t="s">
        <v>1304</v>
      </c>
      <c r="AK173" s="334">
        <v>0</v>
      </c>
      <c r="AL173" s="334">
        <v>0</v>
      </c>
      <c r="AM173" s="334" t="s">
        <v>53</v>
      </c>
      <c r="AN173" s="334" t="s">
        <v>53</v>
      </c>
      <c r="AO173" s="334" t="s">
        <v>53</v>
      </c>
      <c r="AP173" s="334" t="s">
        <v>54</v>
      </c>
      <c r="AQ173" s="331"/>
      <c r="AR173" s="357"/>
      <c r="AS173" s="357"/>
      <c r="AT173" s="357"/>
      <c r="AU173" s="357"/>
      <c r="AV173" s="357"/>
      <c r="AW173" s="357"/>
      <c r="AX173" s="357"/>
      <c r="AY173" s="357"/>
      <c r="AZ173" s="357"/>
      <c r="BA173" s="357"/>
      <c r="BB173" s="357"/>
      <c r="BC173" s="357"/>
      <c r="BD173" s="358"/>
      <c r="BE173" s="357"/>
      <c r="BF173" s="357"/>
      <c r="BG173" s="357"/>
      <c r="BH173" s="357"/>
      <c r="BI173" s="357"/>
      <c r="BJ173" s="357"/>
      <c r="BK173" s="357"/>
      <c r="BL173" s="357"/>
      <c r="BM173" s="357"/>
      <c r="BN173" s="357"/>
      <c r="BO173" s="357"/>
      <c r="BP173" s="357"/>
      <c r="BQ173" s="390"/>
      <c r="BR173" s="357"/>
      <c r="BS173" s="357"/>
      <c r="BT173" s="357"/>
      <c r="BU173" s="357"/>
      <c r="BV173" s="357"/>
      <c r="BW173" s="357"/>
      <c r="BX173" s="357"/>
      <c r="BY173" s="357"/>
      <c r="BZ173" s="357"/>
      <c r="CA173" s="357"/>
      <c r="CB173" s="357"/>
      <c r="CC173" s="357"/>
      <c r="CD173" s="357"/>
      <c r="CE173" s="331"/>
      <c r="CF173" s="331"/>
      <c r="CG173" s="331"/>
      <c r="CH173" s="331"/>
      <c r="CI173" s="331"/>
      <c r="CJ173" s="331"/>
      <c r="CK173" s="331"/>
      <c r="CL173" s="331"/>
      <c r="CM173" s="331"/>
      <c r="CN173" s="331"/>
      <c r="CO173" s="331"/>
      <c r="CP173" s="331"/>
      <c r="CQ173" s="331"/>
      <c r="CR173" s="331"/>
      <c r="CS173" s="331"/>
      <c r="CT173" s="331"/>
      <c r="CU173" s="331"/>
      <c r="CV173" s="331"/>
      <c r="CW173" s="331"/>
      <c r="CX173" s="331"/>
      <c r="CY173" s="331"/>
      <c r="CZ173" s="331"/>
      <c r="DA173" s="331"/>
      <c r="DB173" s="331"/>
      <c r="DC173" s="331"/>
      <c r="DD173" s="331"/>
      <c r="DE173" s="1"/>
      <c r="DF173" s="1"/>
      <c r="DG173" s="1"/>
      <c r="DH173" s="1"/>
      <c r="DI173" s="1"/>
      <c r="DJ173" s="1"/>
      <c r="DK173" s="1"/>
      <c r="DL173" s="1"/>
      <c r="DM173" s="1"/>
      <c r="DN173" s="1"/>
      <c r="DO173" s="1"/>
      <c r="DP173" s="1"/>
      <c r="DQ173" s="1"/>
    </row>
    <row r="174" spans="1:121" x14ac:dyDescent="0.2">
      <c r="A174" s="830"/>
      <c r="B174" s="832"/>
      <c r="C174" s="830"/>
      <c r="D174" s="103" t="s">
        <v>1612</v>
      </c>
      <c r="E174" s="531"/>
      <c r="F174" s="331"/>
      <c r="G174" s="331" t="s">
        <v>49</v>
      </c>
      <c r="H174" s="383" t="s">
        <v>328</v>
      </c>
      <c r="I174" s="383" t="s">
        <v>316</v>
      </c>
      <c r="J174" s="402">
        <v>45109</v>
      </c>
      <c r="K174" s="402">
        <v>46205</v>
      </c>
      <c r="L174" s="457" t="s">
        <v>493</v>
      </c>
      <c r="M174" s="355"/>
      <c r="N174" s="355"/>
      <c r="O174" s="355"/>
      <c r="P174" s="458"/>
      <c r="Q174" s="355"/>
      <c r="R174" s="355"/>
      <c r="S174" s="355"/>
      <c r="T174" s="355"/>
      <c r="U174" s="355"/>
      <c r="V174" s="355"/>
      <c r="W174" s="355"/>
      <c r="X174" s="355"/>
      <c r="Y174" s="355"/>
      <c r="Z174" s="459">
        <f t="shared" si="57"/>
        <v>0</v>
      </c>
      <c r="AA174" s="451">
        <f t="shared" si="54"/>
        <v>0</v>
      </c>
      <c r="AB174" s="451">
        <f t="shared" si="55"/>
        <v>0</v>
      </c>
      <c r="AC174" s="450" t="e">
        <f t="shared" si="56"/>
        <v>#VALUE!</v>
      </c>
      <c r="AD174" s="450"/>
      <c r="AE174" s="450"/>
      <c r="AF174" s="450"/>
      <c r="AG174" s="450"/>
      <c r="AH174" s="331"/>
      <c r="AI174" s="334">
        <v>36</v>
      </c>
      <c r="AJ174" s="334" t="s">
        <v>1304</v>
      </c>
      <c r="AK174" s="334">
        <v>0</v>
      </c>
      <c r="AL174" s="334">
        <v>0</v>
      </c>
      <c r="AM174" s="334" t="s">
        <v>53</v>
      </c>
      <c r="AN174" s="334" t="s">
        <v>53</v>
      </c>
      <c r="AO174" s="334" t="s">
        <v>53</v>
      </c>
      <c r="AP174" s="334" t="s">
        <v>54</v>
      </c>
      <c r="AQ174" s="331"/>
      <c r="AR174" s="357"/>
      <c r="AS174" s="357"/>
      <c r="AT174" s="357"/>
      <c r="AU174" s="357"/>
      <c r="AV174" s="357"/>
      <c r="AW174" s="357"/>
      <c r="AX174" s="357"/>
      <c r="AY174" s="357"/>
      <c r="AZ174" s="357"/>
      <c r="BA174" s="357"/>
      <c r="BB174" s="357"/>
      <c r="BC174" s="357"/>
      <c r="BD174" s="358"/>
      <c r="BE174" s="357"/>
      <c r="BF174" s="357"/>
      <c r="BG174" s="357"/>
      <c r="BH174" s="357"/>
      <c r="BI174" s="357"/>
      <c r="BJ174" s="357"/>
      <c r="BK174" s="357"/>
      <c r="BL174" s="357"/>
      <c r="BM174" s="357"/>
      <c r="BN174" s="357"/>
      <c r="BO174" s="357"/>
      <c r="BP174" s="357"/>
      <c r="BQ174" s="390"/>
      <c r="BR174" s="357"/>
      <c r="BS174" s="357"/>
      <c r="BT174" s="357"/>
      <c r="BU174" s="357"/>
      <c r="BV174" s="357"/>
      <c r="BW174" s="357"/>
      <c r="BX174" s="357"/>
      <c r="BY174" s="357"/>
      <c r="BZ174" s="357"/>
      <c r="CA174" s="357"/>
      <c r="CB174" s="357"/>
      <c r="CC174" s="357"/>
      <c r="CD174" s="357"/>
      <c r="CE174" s="331"/>
      <c r="CF174" s="331"/>
      <c r="CG174" s="331"/>
      <c r="CH174" s="331"/>
      <c r="CI174" s="331"/>
      <c r="CJ174" s="331"/>
      <c r="CK174" s="331"/>
      <c r="CL174" s="331"/>
      <c r="CM174" s="331"/>
      <c r="CN174" s="331"/>
      <c r="CO174" s="331"/>
      <c r="CP174" s="331"/>
      <c r="CQ174" s="331"/>
      <c r="CR174" s="331"/>
      <c r="CS174" s="331"/>
      <c r="CT174" s="331"/>
      <c r="CU174" s="331"/>
      <c r="CV174" s="331"/>
      <c r="CW174" s="331"/>
      <c r="CX174" s="331"/>
      <c r="CY174" s="331"/>
      <c r="CZ174" s="331"/>
      <c r="DA174" s="331"/>
      <c r="DB174" s="331"/>
      <c r="DC174" s="331"/>
      <c r="DD174" s="331"/>
      <c r="DE174" s="1"/>
      <c r="DF174" s="1"/>
      <c r="DG174" s="1"/>
      <c r="DH174" s="1"/>
      <c r="DI174" s="1"/>
      <c r="DJ174" s="1"/>
      <c r="DK174" s="1"/>
      <c r="DL174" s="1"/>
      <c r="DM174" s="1"/>
      <c r="DN174" s="1"/>
      <c r="DO174" s="1"/>
      <c r="DP174" s="1"/>
      <c r="DQ174" s="1"/>
    </row>
    <row r="175" spans="1:121" x14ac:dyDescent="0.2">
      <c r="A175" s="831"/>
      <c r="B175" s="832"/>
      <c r="C175" s="831"/>
      <c r="D175" s="331"/>
      <c r="E175" s="331"/>
      <c r="F175" s="331"/>
      <c r="G175" s="331"/>
      <c r="H175" s="331"/>
      <c r="I175" s="331"/>
      <c r="J175" s="331"/>
      <c r="K175" s="331"/>
      <c r="L175" s="355"/>
      <c r="M175" s="355"/>
      <c r="N175" s="355"/>
      <c r="O175" s="355"/>
      <c r="P175" s="458"/>
      <c r="Q175" s="355"/>
      <c r="R175" s="355"/>
      <c r="S175" s="355"/>
      <c r="T175" s="355"/>
      <c r="U175" s="355"/>
      <c r="V175" s="355"/>
      <c r="W175" s="355"/>
      <c r="X175" s="355"/>
      <c r="Y175" s="355"/>
      <c r="Z175" s="459">
        <f t="shared" si="57"/>
        <v>0</v>
      </c>
      <c r="AA175" s="451">
        <f t="shared" si="54"/>
        <v>0</v>
      </c>
      <c r="AB175" s="451">
        <f t="shared" si="55"/>
        <v>0</v>
      </c>
      <c r="AC175" s="450"/>
      <c r="AD175" s="450"/>
      <c r="AE175" s="450"/>
      <c r="AF175" s="450"/>
      <c r="AG175" s="450"/>
      <c r="AH175" s="331"/>
      <c r="AI175" s="334">
        <v>36</v>
      </c>
      <c r="AJ175" s="334" t="s">
        <v>1304</v>
      </c>
      <c r="AK175" s="334">
        <v>0</v>
      </c>
      <c r="AL175" s="334">
        <v>0</v>
      </c>
      <c r="AM175" s="334" t="s">
        <v>53</v>
      </c>
      <c r="AN175" s="334" t="s">
        <v>53</v>
      </c>
      <c r="AO175" s="334" t="s">
        <v>53</v>
      </c>
      <c r="AP175" s="334" t="s">
        <v>54</v>
      </c>
      <c r="AQ175" s="331"/>
      <c r="AR175" s="357"/>
      <c r="AS175" s="357"/>
      <c r="AT175" s="357"/>
      <c r="AU175" s="357"/>
      <c r="AV175" s="357"/>
      <c r="AW175" s="357"/>
      <c r="AX175" s="357"/>
      <c r="AY175" s="357"/>
      <c r="AZ175" s="357"/>
      <c r="BA175" s="357"/>
      <c r="BB175" s="357"/>
      <c r="BC175" s="357"/>
      <c r="BD175" s="358"/>
      <c r="BE175" s="357"/>
      <c r="BF175" s="357"/>
      <c r="BG175" s="357"/>
      <c r="BH175" s="357"/>
      <c r="BI175" s="357"/>
      <c r="BJ175" s="357"/>
      <c r="BK175" s="357"/>
      <c r="BL175" s="357"/>
      <c r="BM175" s="357"/>
      <c r="BN175" s="357"/>
      <c r="BO175" s="357"/>
      <c r="BP175" s="357"/>
      <c r="BQ175" s="390"/>
      <c r="BR175" s="357"/>
      <c r="BS175" s="357"/>
      <c r="BT175" s="357"/>
      <c r="BU175" s="357"/>
      <c r="BV175" s="357"/>
      <c r="BW175" s="357"/>
      <c r="BX175" s="357"/>
      <c r="BY175" s="357"/>
      <c r="BZ175" s="357"/>
      <c r="CA175" s="357"/>
      <c r="CB175" s="357"/>
      <c r="CC175" s="357"/>
      <c r="CD175" s="357"/>
      <c r="CE175" s="331"/>
      <c r="CF175" s="331"/>
      <c r="CG175" s="331"/>
      <c r="CH175" s="331"/>
      <c r="CI175" s="331"/>
      <c r="CJ175" s="331"/>
      <c r="CK175" s="331"/>
      <c r="CL175" s="331"/>
      <c r="CM175" s="331"/>
      <c r="CN175" s="331"/>
      <c r="CO175" s="331"/>
      <c r="CP175" s="331"/>
      <c r="CQ175" s="331"/>
      <c r="CR175" s="331"/>
      <c r="CS175" s="331"/>
      <c r="CT175" s="331"/>
      <c r="CU175" s="331"/>
      <c r="CV175" s="331"/>
      <c r="CW175" s="331"/>
      <c r="CX175" s="331"/>
      <c r="CY175" s="331"/>
      <c r="CZ175" s="331"/>
      <c r="DA175" s="331"/>
      <c r="DB175" s="331"/>
      <c r="DC175" s="331"/>
      <c r="DD175" s="331"/>
      <c r="DE175" s="1"/>
      <c r="DF175" s="1"/>
      <c r="DG175" s="1"/>
      <c r="DH175" s="1"/>
      <c r="DI175" s="1"/>
      <c r="DJ175" s="1"/>
      <c r="DK175" s="1"/>
      <c r="DL175" s="1"/>
      <c r="DM175" s="1"/>
      <c r="DN175" s="1"/>
      <c r="DO175" s="1"/>
      <c r="DP175" s="1"/>
      <c r="DQ175" s="1"/>
    </row>
    <row r="176" spans="1:121" s="624" customFormat="1" ht="15" x14ac:dyDescent="0.25">
      <c r="A176" s="823" t="s">
        <v>1632</v>
      </c>
      <c r="B176" s="823" t="s">
        <v>107</v>
      </c>
      <c r="C176" s="823" t="s">
        <v>1631</v>
      </c>
      <c r="D176" s="469" t="s">
        <v>1623</v>
      </c>
      <c r="E176" s="997"/>
      <c r="F176" s="997"/>
      <c r="G176" s="823" t="s">
        <v>49</v>
      </c>
      <c r="H176" s="823" t="s">
        <v>328</v>
      </c>
      <c r="I176" s="823" t="s">
        <v>316</v>
      </c>
      <c r="J176" s="826">
        <v>45246</v>
      </c>
      <c r="K176" s="826">
        <v>46352</v>
      </c>
      <c r="L176" s="626" t="s">
        <v>1492</v>
      </c>
      <c r="M176" s="626"/>
      <c r="N176" s="626"/>
      <c r="O176" s="626"/>
      <c r="P176" s="627"/>
      <c r="Q176" s="626"/>
      <c r="R176" s="626"/>
      <c r="S176" s="626"/>
      <c r="T176" s="626"/>
      <c r="U176" s="626"/>
      <c r="V176" s="626"/>
      <c r="W176" s="626"/>
      <c r="X176" s="626"/>
      <c r="Y176" s="626"/>
      <c r="Z176" s="998">
        <f t="shared" si="57"/>
        <v>0</v>
      </c>
      <c r="AA176" s="930">
        <f t="shared" si="54"/>
        <v>779770.72499999998</v>
      </c>
      <c r="AB176" s="930">
        <f t="shared" si="55"/>
        <v>779770.72499999998</v>
      </c>
      <c r="AC176" s="929" t="e">
        <f t="shared" si="56"/>
        <v>#VALUE!</v>
      </c>
      <c r="AD176" s="929"/>
      <c r="AE176" s="929"/>
      <c r="AF176" s="929"/>
      <c r="AG176" s="929"/>
      <c r="AH176" s="469"/>
      <c r="AI176" s="617">
        <v>36</v>
      </c>
      <c r="AJ176" s="617" t="s">
        <v>1304</v>
      </c>
      <c r="AK176" s="617">
        <v>0</v>
      </c>
      <c r="AL176" s="617">
        <v>0</v>
      </c>
      <c r="AM176" s="617" t="s">
        <v>53</v>
      </c>
      <c r="AN176" s="617" t="s">
        <v>53</v>
      </c>
      <c r="AO176" s="617" t="s">
        <v>53</v>
      </c>
      <c r="AP176" s="617" t="s">
        <v>54</v>
      </c>
      <c r="AQ176" s="469"/>
      <c r="AR176" s="618"/>
      <c r="AS176" s="618"/>
      <c r="AT176" s="618"/>
      <c r="AU176" s="618"/>
      <c r="AV176" s="618"/>
      <c r="AW176" s="618"/>
      <c r="AX176" s="618"/>
      <c r="AY176" s="618"/>
      <c r="AZ176" s="618"/>
      <c r="BA176" s="618"/>
      <c r="BB176" s="618"/>
      <c r="BC176" s="618"/>
      <c r="BD176" s="620"/>
      <c r="BE176" s="618"/>
      <c r="BF176" s="618"/>
      <c r="BG176" s="618"/>
      <c r="BH176" s="618"/>
      <c r="BI176" s="618"/>
      <c r="BJ176" s="618"/>
      <c r="BK176" s="618"/>
      <c r="BL176" s="618"/>
      <c r="BM176" s="618"/>
      <c r="BN176" s="618"/>
      <c r="BO176" s="618"/>
      <c r="BP176" s="618"/>
      <c r="BQ176" s="634"/>
      <c r="BR176" s="618"/>
      <c r="BS176" s="618"/>
      <c r="BT176" s="618"/>
      <c r="BU176" s="618"/>
      <c r="BV176" s="618"/>
      <c r="BW176" s="618"/>
      <c r="BX176" s="618"/>
      <c r="BY176" s="618"/>
      <c r="BZ176" s="618"/>
      <c r="CA176" s="618"/>
      <c r="CB176" s="618"/>
      <c r="CC176" s="618"/>
      <c r="CD176" s="618"/>
      <c r="CE176" s="469"/>
      <c r="CF176" s="469"/>
      <c r="CG176" s="469"/>
      <c r="CH176" s="469"/>
      <c r="CI176" s="469"/>
      <c r="CJ176" s="469"/>
      <c r="CK176" s="469"/>
      <c r="CL176" s="469"/>
      <c r="CM176" s="469"/>
      <c r="CN176" s="469"/>
      <c r="CO176" s="469"/>
      <c r="CP176" s="469"/>
      <c r="CQ176" s="469"/>
      <c r="CR176" s="469"/>
      <c r="CS176" s="469"/>
      <c r="CT176" s="469"/>
      <c r="CU176" s="469"/>
      <c r="CV176" s="469"/>
      <c r="CW176" s="996">
        <v>212232.5</v>
      </c>
      <c r="CX176" s="469"/>
      <c r="CY176" s="996">
        <v>235577.5</v>
      </c>
      <c r="CZ176" s="996">
        <f>109355.225+33488</f>
        <v>142843.22500000001</v>
      </c>
      <c r="DA176" s="996">
        <v>189117.5</v>
      </c>
      <c r="DB176" s="469"/>
      <c r="DC176" s="469"/>
      <c r="DD176" s="469">
        <f>SUM(CR176:DC176)</f>
        <v>779770.72499999998</v>
      </c>
      <c r="DE176" s="469"/>
      <c r="DF176" s="469"/>
      <c r="DG176" s="469"/>
      <c r="DH176" s="469"/>
      <c r="DI176" s="469"/>
      <c r="DJ176" s="469"/>
      <c r="DK176" s="469"/>
      <c r="DL176" s="469"/>
      <c r="DM176" s="469">
        <v>69500</v>
      </c>
      <c r="DN176" s="469"/>
      <c r="DO176" s="469"/>
      <c r="DP176" s="469">
        <v>133500</v>
      </c>
      <c r="DQ176" s="469"/>
    </row>
    <row r="177" spans="1:121" s="624" customFormat="1" x14ac:dyDescent="0.2">
      <c r="A177" s="824"/>
      <c r="B177" s="824"/>
      <c r="C177" s="824"/>
      <c r="D177" s="469" t="s">
        <v>1624</v>
      </c>
      <c r="E177" s="997"/>
      <c r="F177" s="997"/>
      <c r="G177" s="824"/>
      <c r="H177" s="824"/>
      <c r="I177" s="824"/>
      <c r="J177" s="827"/>
      <c r="K177" s="827"/>
      <c r="L177" s="626" t="s">
        <v>1492</v>
      </c>
      <c r="M177" s="626"/>
      <c r="N177" s="626"/>
      <c r="O177" s="626"/>
      <c r="P177" s="627"/>
      <c r="Q177" s="626"/>
      <c r="R177" s="626"/>
      <c r="S177" s="626"/>
      <c r="T177" s="626"/>
      <c r="U177" s="626"/>
      <c r="V177" s="626"/>
      <c r="W177" s="626"/>
      <c r="X177" s="626"/>
      <c r="Y177" s="626"/>
      <c r="Z177" s="998">
        <f t="shared" si="57"/>
        <v>0</v>
      </c>
      <c r="AA177" s="930">
        <f t="shared" si="54"/>
        <v>575575</v>
      </c>
      <c r="AB177" s="930">
        <f t="shared" si="55"/>
        <v>575575</v>
      </c>
      <c r="AC177" s="929" t="e">
        <f t="shared" si="56"/>
        <v>#VALUE!</v>
      </c>
      <c r="AD177" s="929"/>
      <c r="AE177" s="929"/>
      <c r="AF177" s="929"/>
      <c r="AG177" s="929"/>
      <c r="AH177" s="469"/>
      <c r="AI177" s="617">
        <v>36</v>
      </c>
      <c r="AJ177" s="617" t="s">
        <v>1304</v>
      </c>
      <c r="AK177" s="617">
        <v>0</v>
      </c>
      <c r="AL177" s="617">
        <v>0</v>
      </c>
      <c r="AM177" s="617" t="s">
        <v>53</v>
      </c>
      <c r="AN177" s="617" t="s">
        <v>53</v>
      </c>
      <c r="AO177" s="617" t="s">
        <v>53</v>
      </c>
      <c r="AP177" s="617" t="s">
        <v>54</v>
      </c>
      <c r="AQ177" s="469"/>
      <c r="AR177" s="618"/>
      <c r="AS177" s="618"/>
      <c r="AT177" s="618"/>
      <c r="AU177" s="618"/>
      <c r="AV177" s="618"/>
      <c r="AW177" s="618"/>
      <c r="AX177" s="618"/>
      <c r="AY177" s="618"/>
      <c r="AZ177" s="618"/>
      <c r="BA177" s="618"/>
      <c r="BB177" s="618"/>
      <c r="BC177" s="618"/>
      <c r="BD177" s="620"/>
      <c r="BE177" s="618"/>
      <c r="BF177" s="618"/>
      <c r="BG177" s="618"/>
      <c r="BH177" s="618"/>
      <c r="BI177" s="618"/>
      <c r="BJ177" s="618"/>
      <c r="BK177" s="618"/>
      <c r="BL177" s="618"/>
      <c r="BM177" s="618"/>
      <c r="BN177" s="618"/>
      <c r="BO177" s="618"/>
      <c r="BP177" s="618"/>
      <c r="BQ177" s="634"/>
      <c r="BR177" s="618"/>
      <c r="BS177" s="618"/>
      <c r="BT177" s="618"/>
      <c r="BU177" s="618"/>
      <c r="BV177" s="618"/>
      <c r="BW177" s="618"/>
      <c r="BX177" s="618"/>
      <c r="BY177" s="618"/>
      <c r="BZ177" s="618"/>
      <c r="CA177" s="618"/>
      <c r="CB177" s="618"/>
      <c r="CC177" s="618"/>
      <c r="CD177" s="618"/>
      <c r="CE177" s="469"/>
      <c r="CF177" s="469"/>
      <c r="CG177" s="469"/>
      <c r="CH177" s="469"/>
      <c r="CI177" s="469"/>
      <c r="CJ177" s="469"/>
      <c r="CK177" s="469"/>
      <c r="CL177" s="469"/>
      <c r="CM177" s="469"/>
      <c r="CN177" s="469"/>
      <c r="CO177" s="469"/>
      <c r="CP177" s="469"/>
      <c r="CQ177" s="469"/>
      <c r="CR177" s="469"/>
      <c r="CS177" s="469"/>
      <c r="CT177" s="469"/>
      <c r="CU177" s="469"/>
      <c r="CV177" s="469"/>
      <c r="CW177" s="469">
        <v>0</v>
      </c>
      <c r="CX177" s="469">
        <v>379500</v>
      </c>
      <c r="CY177" s="469"/>
      <c r="CZ177" s="469"/>
      <c r="DA177" s="469"/>
      <c r="DB177" s="469"/>
      <c r="DC177" s="469">
        <f>139074.997+57000.003</f>
        <v>196075</v>
      </c>
      <c r="DD177" s="469">
        <f>SUM(CR177:DC177)</f>
        <v>575575</v>
      </c>
      <c r="DE177" s="469">
        <v>126500</v>
      </c>
      <c r="DF177" s="469"/>
      <c r="DG177" s="469"/>
      <c r="DH177" s="469">
        <v>594414.55000000005</v>
      </c>
      <c r="DI177" s="469"/>
      <c r="DJ177" s="469"/>
      <c r="DK177" s="469"/>
      <c r="DL177" s="469"/>
      <c r="DM177" s="469"/>
      <c r="DN177" s="469"/>
      <c r="DO177" s="469"/>
      <c r="DP177" s="469"/>
      <c r="DQ177" s="469"/>
    </row>
    <row r="178" spans="1:121" x14ac:dyDescent="0.2">
      <c r="A178" s="824"/>
      <c r="B178" s="824"/>
      <c r="C178" s="824"/>
      <c r="D178" s="1" t="s">
        <v>1625</v>
      </c>
      <c r="E178" s="331"/>
      <c r="F178" s="331"/>
      <c r="G178" s="824"/>
      <c r="H178" s="824"/>
      <c r="I178" s="824"/>
      <c r="J178" s="827"/>
      <c r="K178" s="827"/>
      <c r="L178" s="116" t="s">
        <v>1492</v>
      </c>
      <c r="M178" s="116"/>
      <c r="N178" s="116"/>
      <c r="O178" s="116"/>
      <c r="P178" s="375"/>
      <c r="Q178" s="116"/>
      <c r="R178" s="116"/>
      <c r="S178" s="116"/>
      <c r="T178" s="116"/>
      <c r="U178" s="116"/>
      <c r="V178" s="116"/>
      <c r="W178" s="116"/>
      <c r="X178" s="116"/>
      <c r="Y178" s="116"/>
      <c r="Z178" s="604">
        <f t="shared" si="57"/>
        <v>0</v>
      </c>
      <c r="AA178" s="597">
        <f t="shared" si="54"/>
        <v>0</v>
      </c>
      <c r="AB178" s="597">
        <f t="shared" si="55"/>
        <v>0</v>
      </c>
      <c r="AC178" s="596" t="e">
        <f t="shared" si="56"/>
        <v>#VALUE!</v>
      </c>
      <c r="AD178" s="596"/>
      <c r="AE178" s="596"/>
      <c r="AF178" s="596"/>
      <c r="AG178" s="596"/>
      <c r="AH178" s="1"/>
      <c r="AI178" s="44">
        <v>36</v>
      </c>
      <c r="AJ178" s="44" t="s">
        <v>1304</v>
      </c>
      <c r="AK178" s="44">
        <v>0</v>
      </c>
      <c r="AL178" s="44">
        <v>0</v>
      </c>
      <c r="AM178" s="44" t="s">
        <v>53</v>
      </c>
      <c r="AN178" s="44" t="s">
        <v>53</v>
      </c>
      <c r="AO178" s="44" t="s">
        <v>53</v>
      </c>
      <c r="AP178" s="44" t="s">
        <v>54</v>
      </c>
      <c r="AQ178" s="1"/>
      <c r="AR178" s="15"/>
      <c r="AS178" s="15"/>
      <c r="AT178" s="15"/>
      <c r="AU178" s="15"/>
      <c r="AV178" s="15"/>
      <c r="AW178" s="15"/>
      <c r="AX178" s="15"/>
      <c r="AY178" s="15"/>
      <c r="AZ178" s="15"/>
      <c r="BA178" s="15"/>
      <c r="BB178" s="15"/>
      <c r="BC178" s="15"/>
      <c r="BD178" s="102"/>
      <c r="BE178" s="15"/>
      <c r="BF178" s="15"/>
      <c r="BG178" s="15"/>
      <c r="BH178" s="15"/>
      <c r="BI178" s="15"/>
      <c r="BJ178" s="15"/>
      <c r="BK178" s="15"/>
      <c r="BL178" s="15"/>
      <c r="BM178" s="15"/>
      <c r="BN178" s="15"/>
      <c r="BO178" s="15"/>
      <c r="BP178" s="15"/>
      <c r="BQ178" s="242"/>
      <c r="BR178" s="15"/>
      <c r="BS178" s="15"/>
      <c r="BT178" s="15"/>
      <c r="BU178" s="15"/>
      <c r="BV178" s="15"/>
      <c r="BW178" s="15"/>
      <c r="BX178" s="15"/>
      <c r="BY178" s="15"/>
      <c r="BZ178" s="15"/>
      <c r="CA178" s="15"/>
      <c r="CB178" s="15"/>
      <c r="CC178" s="15"/>
      <c r="CD178" s="15"/>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f t="shared" ref="DD178:DD241" si="58">SUM(CR178:DC178)</f>
        <v>0</v>
      </c>
      <c r="DE178" s="1"/>
      <c r="DF178" s="1"/>
      <c r="DG178" s="1"/>
      <c r="DH178" s="1"/>
      <c r="DI178" s="1"/>
      <c r="DJ178" s="1"/>
      <c r="DK178" s="1"/>
      <c r="DL178" s="1"/>
      <c r="DM178" s="1"/>
      <c r="DN178" s="1"/>
      <c r="DO178" s="1"/>
      <c r="DP178" s="1"/>
      <c r="DQ178" s="1"/>
    </row>
    <row r="179" spans="1:121" x14ac:dyDescent="0.2">
      <c r="A179" s="824"/>
      <c r="B179" s="824"/>
      <c r="C179" s="824"/>
      <c r="D179" s="1" t="s">
        <v>1626</v>
      </c>
      <c r="E179" s="331"/>
      <c r="F179" s="331"/>
      <c r="G179" s="824"/>
      <c r="H179" s="824"/>
      <c r="I179" s="824"/>
      <c r="J179" s="827"/>
      <c r="K179" s="827"/>
      <c r="L179" s="116" t="s">
        <v>1492</v>
      </c>
      <c r="M179" s="116"/>
      <c r="N179" s="116"/>
      <c r="O179" s="116"/>
      <c r="P179" s="375"/>
      <c r="Q179" s="116"/>
      <c r="R179" s="116"/>
      <c r="S179" s="116"/>
      <c r="T179" s="116"/>
      <c r="U179" s="116"/>
      <c r="V179" s="116"/>
      <c r="W179" s="116"/>
      <c r="X179" s="116"/>
      <c r="Y179" s="116"/>
      <c r="Z179" s="604">
        <f t="shared" si="57"/>
        <v>0</v>
      </c>
      <c r="AA179" s="597">
        <f t="shared" si="54"/>
        <v>0</v>
      </c>
      <c r="AB179" s="597">
        <f t="shared" si="55"/>
        <v>0</v>
      </c>
      <c r="AC179" s="596" t="e">
        <f t="shared" si="56"/>
        <v>#VALUE!</v>
      </c>
      <c r="AD179" s="596"/>
      <c r="AE179" s="596"/>
      <c r="AF179" s="596"/>
      <c r="AG179" s="596"/>
      <c r="AH179" s="1"/>
      <c r="AI179" s="44">
        <v>36</v>
      </c>
      <c r="AJ179" s="44" t="s">
        <v>1304</v>
      </c>
      <c r="AK179" s="44">
        <v>0</v>
      </c>
      <c r="AL179" s="44">
        <v>0</v>
      </c>
      <c r="AM179" s="44" t="s">
        <v>53</v>
      </c>
      <c r="AN179" s="44" t="s">
        <v>53</v>
      </c>
      <c r="AO179" s="44" t="s">
        <v>53</v>
      </c>
      <c r="AP179" s="44" t="s">
        <v>54</v>
      </c>
      <c r="AQ179" s="1"/>
      <c r="AR179" s="15"/>
      <c r="AS179" s="15"/>
      <c r="AT179" s="15"/>
      <c r="AU179" s="15"/>
      <c r="AV179" s="15"/>
      <c r="AW179" s="15"/>
      <c r="AX179" s="15"/>
      <c r="AY179" s="15"/>
      <c r="AZ179" s="15"/>
      <c r="BA179" s="15"/>
      <c r="BB179" s="15"/>
      <c r="BC179" s="15"/>
      <c r="BD179" s="102"/>
      <c r="BE179" s="15"/>
      <c r="BF179" s="15"/>
      <c r="BG179" s="15"/>
      <c r="BH179" s="15"/>
      <c r="BI179" s="15"/>
      <c r="BJ179" s="15"/>
      <c r="BK179" s="15"/>
      <c r="BL179" s="15"/>
      <c r="BM179" s="15"/>
      <c r="BN179" s="15"/>
      <c r="BO179" s="15"/>
      <c r="BP179" s="15"/>
      <c r="BQ179" s="242"/>
      <c r="BR179" s="15"/>
      <c r="BS179" s="15"/>
      <c r="BT179" s="15"/>
      <c r="BU179" s="15"/>
      <c r="BV179" s="15"/>
      <c r="BW179" s="15"/>
      <c r="BX179" s="15"/>
      <c r="BY179" s="15"/>
      <c r="BZ179" s="15"/>
      <c r="CA179" s="15"/>
      <c r="CB179" s="15"/>
      <c r="CC179" s="15"/>
      <c r="CD179" s="15"/>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f t="shared" si="58"/>
        <v>0</v>
      </c>
      <c r="DE179" s="1"/>
      <c r="DF179" s="1"/>
      <c r="DG179" s="1"/>
      <c r="DH179" s="1"/>
      <c r="DI179" s="1"/>
      <c r="DJ179" s="1"/>
      <c r="DK179" s="1"/>
      <c r="DL179" s="1"/>
      <c r="DM179" s="1"/>
      <c r="DN179" s="1"/>
      <c r="DO179" s="1"/>
      <c r="DP179" s="1"/>
      <c r="DQ179" s="1"/>
    </row>
    <row r="180" spans="1:121" s="624" customFormat="1" x14ac:dyDescent="0.2">
      <c r="A180" s="824"/>
      <c r="B180" s="824"/>
      <c r="C180" s="824"/>
      <c r="D180" s="469" t="s">
        <v>1627</v>
      </c>
      <c r="E180" s="664"/>
      <c r="F180" s="664"/>
      <c r="G180" s="824"/>
      <c r="H180" s="824"/>
      <c r="I180" s="824"/>
      <c r="J180" s="827"/>
      <c r="K180" s="827"/>
      <c r="L180" s="626" t="s">
        <v>1492</v>
      </c>
      <c r="M180" s="626"/>
      <c r="N180" s="626"/>
      <c r="O180" s="626"/>
      <c r="P180" s="627"/>
      <c r="Q180" s="626"/>
      <c r="R180" s="626"/>
      <c r="S180" s="626"/>
      <c r="T180" s="626"/>
      <c r="U180" s="626"/>
      <c r="V180" s="626"/>
      <c r="W180" s="626"/>
      <c r="X180" s="626"/>
      <c r="Y180" s="626"/>
      <c r="Z180" s="998">
        <f t="shared" si="57"/>
        <v>0</v>
      </c>
      <c r="AA180" s="930">
        <f t="shared" si="54"/>
        <v>0</v>
      </c>
      <c r="AB180" s="930">
        <f t="shared" si="55"/>
        <v>0</v>
      </c>
      <c r="AC180" s="929" t="e">
        <f t="shared" si="56"/>
        <v>#VALUE!</v>
      </c>
      <c r="AD180" s="929"/>
      <c r="AE180" s="929"/>
      <c r="AF180" s="929"/>
      <c r="AG180" s="929"/>
      <c r="AH180" s="469"/>
      <c r="AI180" s="617">
        <v>36</v>
      </c>
      <c r="AJ180" s="617" t="s">
        <v>1304</v>
      </c>
      <c r="AK180" s="617">
        <v>0</v>
      </c>
      <c r="AL180" s="617">
        <v>0</v>
      </c>
      <c r="AM180" s="617" t="s">
        <v>53</v>
      </c>
      <c r="AN180" s="617" t="s">
        <v>53</v>
      </c>
      <c r="AO180" s="617" t="s">
        <v>53</v>
      </c>
      <c r="AP180" s="617" t="s">
        <v>54</v>
      </c>
      <c r="AQ180" s="469"/>
      <c r="AR180" s="618"/>
      <c r="AS180" s="618"/>
      <c r="AT180" s="618"/>
      <c r="AU180" s="618"/>
      <c r="AV180" s="618"/>
      <c r="AW180" s="618"/>
      <c r="AX180" s="618"/>
      <c r="AY180" s="618"/>
      <c r="AZ180" s="618"/>
      <c r="BA180" s="618"/>
      <c r="BB180" s="618"/>
      <c r="BC180" s="618"/>
      <c r="BD180" s="620"/>
      <c r="BE180" s="618"/>
      <c r="BF180" s="618"/>
      <c r="BG180" s="618"/>
      <c r="BH180" s="618"/>
      <c r="BI180" s="618"/>
      <c r="BJ180" s="618"/>
      <c r="BK180" s="618"/>
      <c r="BL180" s="618"/>
      <c r="BM180" s="618"/>
      <c r="BN180" s="618"/>
      <c r="BO180" s="618"/>
      <c r="BP180" s="618"/>
      <c r="BQ180" s="634"/>
      <c r="BR180" s="618"/>
      <c r="BS180" s="618"/>
      <c r="BT180" s="618"/>
      <c r="BU180" s="618"/>
      <c r="BV180" s="618"/>
      <c r="BW180" s="618"/>
      <c r="BX180" s="618"/>
      <c r="BY180" s="618"/>
      <c r="BZ180" s="618"/>
      <c r="CA180" s="618"/>
      <c r="CB180" s="618"/>
      <c r="CC180" s="618"/>
      <c r="CD180" s="618"/>
      <c r="CE180" s="469"/>
      <c r="CF180" s="469"/>
      <c r="CG180" s="469"/>
      <c r="CH180" s="469"/>
      <c r="CI180" s="469"/>
      <c r="CJ180" s="469"/>
      <c r="CK180" s="469"/>
      <c r="CL180" s="469"/>
      <c r="CM180" s="469"/>
      <c r="CN180" s="469"/>
      <c r="CO180" s="469"/>
      <c r="CP180" s="469"/>
      <c r="CQ180" s="469"/>
      <c r="CR180" s="469"/>
      <c r="CS180" s="469"/>
      <c r="CT180" s="469"/>
      <c r="CU180" s="469"/>
      <c r="CV180" s="469"/>
      <c r="CW180" s="469"/>
      <c r="CX180" s="469"/>
      <c r="CY180" s="469"/>
      <c r="CZ180" s="469"/>
      <c r="DA180" s="469"/>
      <c r="DB180" s="469"/>
      <c r="DC180" s="469"/>
      <c r="DD180" s="469">
        <f t="shared" si="58"/>
        <v>0</v>
      </c>
      <c r="DE180" s="469"/>
      <c r="DF180" s="469"/>
      <c r="DG180" s="469"/>
      <c r="DH180" s="469"/>
      <c r="DI180" s="469"/>
      <c r="DJ180" s="469">
        <v>23000</v>
      </c>
      <c r="DK180" s="469"/>
      <c r="DL180" s="469"/>
      <c r="DM180" s="469"/>
      <c r="DN180" s="469">
        <v>64400</v>
      </c>
      <c r="DO180" s="469"/>
      <c r="DP180" s="469"/>
      <c r="DQ180" s="469"/>
    </row>
    <row r="181" spans="1:121" x14ac:dyDescent="0.2">
      <c r="A181" s="824"/>
      <c r="B181" s="824"/>
      <c r="C181" s="824"/>
      <c r="D181" s="1" t="s">
        <v>1628</v>
      </c>
      <c r="E181" s="331"/>
      <c r="F181" s="331"/>
      <c r="G181" s="824"/>
      <c r="H181" s="824"/>
      <c r="I181" s="824"/>
      <c r="J181" s="827"/>
      <c r="K181" s="827"/>
      <c r="L181" s="116" t="s">
        <v>1492</v>
      </c>
      <c r="M181" s="116"/>
      <c r="N181" s="116"/>
      <c r="O181" s="116"/>
      <c r="P181" s="375"/>
      <c r="Q181" s="116"/>
      <c r="R181" s="116"/>
      <c r="S181" s="116"/>
      <c r="T181" s="116"/>
      <c r="U181" s="116"/>
      <c r="V181" s="116"/>
      <c r="W181" s="116"/>
      <c r="X181" s="116"/>
      <c r="Y181" s="116"/>
      <c r="Z181" s="604">
        <f t="shared" si="57"/>
        <v>0</v>
      </c>
      <c r="AA181" s="597">
        <f t="shared" si="54"/>
        <v>0</v>
      </c>
      <c r="AB181" s="597">
        <f t="shared" si="55"/>
        <v>0</v>
      </c>
      <c r="AC181" s="596" t="e">
        <f t="shared" si="56"/>
        <v>#VALUE!</v>
      </c>
      <c r="AD181" s="596"/>
      <c r="AE181" s="596"/>
      <c r="AF181" s="596"/>
      <c r="AG181" s="596"/>
      <c r="AH181" s="1"/>
      <c r="AI181" s="44">
        <v>36</v>
      </c>
      <c r="AJ181" s="44" t="s">
        <v>1304</v>
      </c>
      <c r="AK181" s="44">
        <v>0</v>
      </c>
      <c r="AL181" s="44">
        <v>0</v>
      </c>
      <c r="AM181" s="44" t="s">
        <v>53</v>
      </c>
      <c r="AN181" s="44" t="s">
        <v>53</v>
      </c>
      <c r="AO181" s="44" t="s">
        <v>53</v>
      </c>
      <c r="AP181" s="44" t="s">
        <v>54</v>
      </c>
      <c r="AQ181" s="1"/>
      <c r="AR181" s="15"/>
      <c r="AS181" s="15"/>
      <c r="AT181" s="15"/>
      <c r="AU181" s="15"/>
      <c r="AV181" s="15"/>
      <c r="AW181" s="15"/>
      <c r="AX181" s="15"/>
      <c r="AY181" s="15"/>
      <c r="AZ181" s="15"/>
      <c r="BA181" s="15"/>
      <c r="BB181" s="15"/>
      <c r="BC181" s="15"/>
      <c r="BD181" s="102"/>
      <c r="BE181" s="15"/>
      <c r="BF181" s="15"/>
      <c r="BG181" s="15"/>
      <c r="BH181" s="15"/>
      <c r="BI181" s="15"/>
      <c r="BJ181" s="15"/>
      <c r="BK181" s="15"/>
      <c r="BL181" s="15"/>
      <c r="BM181" s="15"/>
      <c r="BN181" s="15"/>
      <c r="BO181" s="15"/>
      <c r="BP181" s="15"/>
      <c r="BQ181" s="242"/>
      <c r="BR181" s="15"/>
      <c r="BS181" s="15"/>
      <c r="BT181" s="15"/>
      <c r="BU181" s="15"/>
      <c r="BV181" s="15"/>
      <c r="BW181" s="15"/>
      <c r="BX181" s="15"/>
      <c r="BY181" s="15"/>
      <c r="BZ181" s="15"/>
      <c r="CA181" s="15"/>
      <c r="CB181" s="15"/>
      <c r="CC181" s="15"/>
      <c r="CD181" s="15"/>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f t="shared" si="58"/>
        <v>0</v>
      </c>
      <c r="DE181" s="1"/>
      <c r="DF181" s="1"/>
      <c r="DG181" s="1"/>
      <c r="DH181" s="1"/>
      <c r="DI181" s="1"/>
      <c r="DJ181" s="1"/>
      <c r="DK181" s="1"/>
      <c r="DL181" s="1"/>
      <c r="DM181" s="1"/>
      <c r="DN181" s="1"/>
      <c r="DO181" s="1"/>
      <c r="DP181" s="1"/>
      <c r="DQ181" s="1"/>
    </row>
    <row r="182" spans="1:121" x14ac:dyDescent="0.2">
      <c r="A182" s="824"/>
      <c r="B182" s="824"/>
      <c r="C182" s="824"/>
      <c r="D182" s="1" t="s">
        <v>1629</v>
      </c>
      <c r="E182" s="331"/>
      <c r="F182" s="331"/>
      <c r="G182" s="824"/>
      <c r="H182" s="824"/>
      <c r="I182" s="824"/>
      <c r="J182" s="827"/>
      <c r="K182" s="827"/>
      <c r="L182" s="116" t="s">
        <v>1492</v>
      </c>
      <c r="M182" s="116"/>
      <c r="N182" s="116"/>
      <c r="O182" s="116"/>
      <c r="P182" s="375"/>
      <c r="Q182" s="116"/>
      <c r="R182" s="116"/>
      <c r="S182" s="116"/>
      <c r="T182" s="116"/>
      <c r="U182" s="116"/>
      <c r="V182" s="116"/>
      <c r="W182" s="116"/>
      <c r="X182" s="116"/>
      <c r="Y182" s="116"/>
      <c r="Z182" s="604">
        <f t="shared" si="57"/>
        <v>0</v>
      </c>
      <c r="AA182" s="597">
        <f t="shared" si="54"/>
        <v>0</v>
      </c>
      <c r="AB182" s="597">
        <f t="shared" si="55"/>
        <v>0</v>
      </c>
      <c r="AC182" s="596" t="e">
        <f t="shared" si="56"/>
        <v>#VALUE!</v>
      </c>
      <c r="AD182" s="596"/>
      <c r="AE182" s="596"/>
      <c r="AF182" s="596"/>
      <c r="AG182" s="596"/>
      <c r="AH182" s="1"/>
      <c r="AI182" s="44">
        <v>36</v>
      </c>
      <c r="AJ182" s="44" t="s">
        <v>1304</v>
      </c>
      <c r="AK182" s="44">
        <v>0</v>
      </c>
      <c r="AL182" s="44">
        <v>0</v>
      </c>
      <c r="AM182" s="44" t="s">
        <v>53</v>
      </c>
      <c r="AN182" s="44" t="s">
        <v>53</v>
      </c>
      <c r="AO182" s="44" t="s">
        <v>53</v>
      </c>
      <c r="AP182" s="44" t="s">
        <v>54</v>
      </c>
      <c r="AQ182" s="1"/>
      <c r="AR182" s="15"/>
      <c r="AS182" s="15"/>
      <c r="AT182" s="15"/>
      <c r="AU182" s="15"/>
      <c r="AV182" s="15"/>
      <c r="AW182" s="15"/>
      <c r="AX182" s="15"/>
      <c r="AY182" s="15"/>
      <c r="AZ182" s="15"/>
      <c r="BA182" s="15"/>
      <c r="BB182" s="15"/>
      <c r="BC182" s="15"/>
      <c r="BD182" s="102"/>
      <c r="BE182" s="15"/>
      <c r="BF182" s="15"/>
      <c r="BG182" s="15"/>
      <c r="BH182" s="15"/>
      <c r="BI182" s="15"/>
      <c r="BJ182" s="15"/>
      <c r="BK182" s="15"/>
      <c r="BL182" s="15"/>
      <c r="BM182" s="15"/>
      <c r="BN182" s="15"/>
      <c r="BO182" s="15"/>
      <c r="BP182" s="15"/>
      <c r="BQ182" s="242"/>
      <c r="BR182" s="15"/>
      <c r="BS182" s="15"/>
      <c r="BT182" s="15"/>
      <c r="BU182" s="15"/>
      <c r="BV182" s="15"/>
      <c r="BW182" s="15"/>
      <c r="BX182" s="15"/>
      <c r="BY182" s="15"/>
      <c r="BZ182" s="15"/>
      <c r="CA182" s="15"/>
      <c r="CB182" s="15"/>
      <c r="CC182" s="15"/>
      <c r="CD182" s="15"/>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f t="shared" si="58"/>
        <v>0</v>
      </c>
      <c r="DE182" s="1"/>
      <c r="DF182" s="1"/>
      <c r="DG182" s="1"/>
      <c r="DH182" s="1"/>
      <c r="DI182" s="1"/>
      <c r="DJ182" s="1"/>
      <c r="DK182" s="1"/>
      <c r="DL182" s="1"/>
      <c r="DM182" s="1"/>
      <c r="DN182" s="1"/>
      <c r="DO182" s="1"/>
      <c r="DP182" s="1"/>
      <c r="DQ182" s="1"/>
    </row>
    <row r="183" spans="1:121" s="624" customFormat="1" x14ac:dyDescent="0.2">
      <c r="A183" s="825"/>
      <c r="B183" s="825"/>
      <c r="C183" s="825"/>
      <c r="D183" s="469" t="s">
        <v>1630</v>
      </c>
      <c r="E183" s="997"/>
      <c r="F183" s="997"/>
      <c r="G183" s="825"/>
      <c r="H183" s="825"/>
      <c r="I183" s="825"/>
      <c r="J183" s="828"/>
      <c r="K183" s="828"/>
      <c r="L183" s="626" t="s">
        <v>1492</v>
      </c>
      <c r="M183" s="626"/>
      <c r="N183" s="626"/>
      <c r="O183" s="626"/>
      <c r="P183" s="627"/>
      <c r="Q183" s="626"/>
      <c r="R183" s="626"/>
      <c r="S183" s="626"/>
      <c r="T183" s="626"/>
      <c r="U183" s="626"/>
      <c r="V183" s="626"/>
      <c r="W183" s="626"/>
      <c r="X183" s="626"/>
      <c r="Y183" s="626"/>
      <c r="Z183" s="998">
        <f t="shared" si="57"/>
        <v>0</v>
      </c>
      <c r="AA183" s="930">
        <f t="shared" si="54"/>
        <v>66961.625</v>
      </c>
      <c r="AB183" s="930">
        <f t="shared" si="55"/>
        <v>66961.625</v>
      </c>
      <c r="AC183" s="929" t="e">
        <f t="shared" si="56"/>
        <v>#VALUE!</v>
      </c>
      <c r="AD183" s="929"/>
      <c r="AE183" s="929"/>
      <c r="AF183" s="929"/>
      <c r="AG183" s="929"/>
      <c r="AH183" s="469"/>
      <c r="AI183" s="617">
        <v>36</v>
      </c>
      <c r="AJ183" s="617" t="s">
        <v>1304</v>
      </c>
      <c r="AK183" s="617">
        <v>0</v>
      </c>
      <c r="AL183" s="617">
        <v>0</v>
      </c>
      <c r="AM183" s="617" t="s">
        <v>53</v>
      </c>
      <c r="AN183" s="617" t="s">
        <v>53</v>
      </c>
      <c r="AO183" s="617" t="s">
        <v>53</v>
      </c>
      <c r="AP183" s="617" t="s">
        <v>54</v>
      </c>
      <c r="AQ183" s="469"/>
      <c r="AR183" s="618"/>
      <c r="AS183" s="618"/>
      <c r="AT183" s="618"/>
      <c r="AU183" s="618"/>
      <c r="AV183" s="618"/>
      <c r="AW183" s="618"/>
      <c r="AX183" s="618"/>
      <c r="AY183" s="618"/>
      <c r="AZ183" s="618"/>
      <c r="BA183" s="618"/>
      <c r="BB183" s="618"/>
      <c r="BC183" s="618"/>
      <c r="BD183" s="620"/>
      <c r="BE183" s="618"/>
      <c r="BF183" s="618"/>
      <c r="BG183" s="618"/>
      <c r="BH183" s="618"/>
      <c r="BI183" s="618"/>
      <c r="BJ183" s="618"/>
      <c r="BK183" s="618"/>
      <c r="BL183" s="618"/>
      <c r="BM183" s="618"/>
      <c r="BN183" s="618"/>
      <c r="BO183" s="618"/>
      <c r="BP183" s="618"/>
      <c r="BQ183" s="634"/>
      <c r="BR183" s="618"/>
      <c r="BS183" s="618"/>
      <c r="BT183" s="618"/>
      <c r="BU183" s="618"/>
      <c r="BV183" s="618"/>
      <c r="BW183" s="618"/>
      <c r="BX183" s="618"/>
      <c r="BY183" s="618"/>
      <c r="BZ183" s="618"/>
      <c r="CA183" s="618"/>
      <c r="CB183" s="618"/>
      <c r="CC183" s="618"/>
      <c r="CD183" s="618"/>
      <c r="CE183" s="469"/>
      <c r="CF183" s="469"/>
      <c r="CG183" s="469"/>
      <c r="CH183" s="469"/>
      <c r="CI183" s="469"/>
      <c r="CJ183" s="469"/>
      <c r="CK183" s="469"/>
      <c r="CL183" s="469"/>
      <c r="CM183" s="469"/>
      <c r="CN183" s="469"/>
      <c r="CO183" s="469"/>
      <c r="CP183" s="469"/>
      <c r="CQ183" s="469"/>
      <c r="CR183" s="469"/>
      <c r="CS183" s="469"/>
      <c r="CT183" s="469"/>
      <c r="CU183" s="469"/>
      <c r="CV183" s="469"/>
      <c r="CW183" s="469"/>
      <c r="CX183" s="469"/>
      <c r="CY183" s="469"/>
      <c r="CZ183" s="469"/>
      <c r="DA183" s="469"/>
      <c r="DB183" s="469"/>
      <c r="DC183" s="469">
        <v>66961.625</v>
      </c>
      <c r="DD183" s="469">
        <f t="shared" si="58"/>
        <v>66961.625</v>
      </c>
      <c r="DE183" s="469"/>
      <c r="DF183" s="469"/>
      <c r="DG183" s="469"/>
      <c r="DH183" s="469"/>
      <c r="DI183" s="469"/>
      <c r="DJ183" s="469"/>
      <c r="DK183" s="469"/>
      <c r="DL183" s="469"/>
      <c r="DM183" s="469"/>
      <c r="DN183" s="469"/>
      <c r="DO183" s="469"/>
      <c r="DP183" s="469">
        <v>305880</v>
      </c>
      <c r="DQ183" s="469"/>
    </row>
    <row r="184" spans="1:121" x14ac:dyDescent="0.2">
      <c r="A184" s="379"/>
      <c r="B184" s="379"/>
      <c r="C184" s="379"/>
      <c r="D184" s="385" t="s">
        <v>1522</v>
      </c>
      <c r="E184" s="385"/>
      <c r="F184" s="331"/>
      <c r="G184" s="379"/>
      <c r="H184" s="379"/>
      <c r="I184" s="379"/>
      <c r="J184" s="381"/>
      <c r="K184" s="381"/>
      <c r="L184" s="355"/>
      <c r="M184" s="355"/>
      <c r="N184" s="355"/>
      <c r="O184" s="355"/>
      <c r="P184" s="458"/>
      <c r="Q184" s="355"/>
      <c r="R184" s="355"/>
      <c r="S184" s="355"/>
      <c r="T184" s="355"/>
      <c r="U184" s="355"/>
      <c r="V184" s="355"/>
      <c r="W184" s="355"/>
      <c r="X184" s="355"/>
      <c r="Y184" s="355"/>
      <c r="Z184" s="459"/>
      <c r="AA184" s="451"/>
      <c r="AB184" s="451"/>
      <c r="AC184" s="450"/>
      <c r="AD184" s="450"/>
      <c r="AE184" s="450"/>
      <c r="AF184" s="450"/>
      <c r="AG184" s="450"/>
      <c r="AH184" s="331"/>
      <c r="AI184" s="334"/>
      <c r="AJ184" s="334"/>
      <c r="AK184" s="334"/>
      <c r="AL184" s="334"/>
      <c r="AM184" s="334"/>
      <c r="AN184" s="334"/>
      <c r="AO184" s="334"/>
      <c r="AP184" s="334"/>
      <c r="AQ184" s="359"/>
      <c r="AR184" s="409"/>
      <c r="AS184" s="409"/>
      <c r="AT184" s="409"/>
      <c r="AU184" s="409"/>
      <c r="AV184" s="409"/>
      <c r="AW184" s="409"/>
      <c r="AX184" s="409"/>
      <c r="AY184" s="409"/>
      <c r="AZ184" s="409"/>
      <c r="BA184" s="409"/>
      <c r="BB184" s="409"/>
      <c r="BC184" s="409"/>
      <c r="BD184" s="417"/>
      <c r="BE184" s="409"/>
      <c r="BF184" s="409"/>
      <c r="BG184" s="409"/>
      <c r="BH184" s="409"/>
      <c r="BI184" s="409"/>
      <c r="BJ184" s="409"/>
      <c r="BK184" s="409"/>
      <c r="BL184" s="409"/>
      <c r="BM184" s="409"/>
      <c r="BN184" s="409"/>
      <c r="BO184" s="409"/>
      <c r="BP184" s="409"/>
      <c r="BQ184" s="411"/>
      <c r="BR184" s="409"/>
      <c r="BS184" s="409"/>
      <c r="BT184" s="409"/>
      <c r="BU184" s="409"/>
      <c r="BV184" s="409"/>
      <c r="BW184" s="409"/>
      <c r="BX184" s="409"/>
      <c r="BY184" s="409"/>
      <c r="BZ184" s="409"/>
      <c r="CA184" s="409"/>
      <c r="CB184" s="409"/>
      <c r="CC184" s="409"/>
      <c r="CD184" s="409"/>
      <c r="CE184" s="359"/>
      <c r="CF184" s="359"/>
      <c r="CG184" s="359"/>
      <c r="CH184" s="359"/>
      <c r="CI184" s="359"/>
      <c r="CJ184" s="359"/>
      <c r="CK184" s="359"/>
      <c r="CL184" s="359"/>
      <c r="CM184" s="359"/>
      <c r="CN184" s="359"/>
      <c r="CO184" s="359"/>
      <c r="CP184" s="359"/>
      <c r="CQ184" s="359"/>
      <c r="CR184" s="331"/>
      <c r="CS184" s="331"/>
      <c r="CT184" s="331"/>
      <c r="CU184" s="331"/>
      <c r="CV184" s="331"/>
      <c r="CW184" s="331"/>
      <c r="CX184" s="331"/>
      <c r="CY184" s="331"/>
      <c r="CZ184" s="331"/>
      <c r="DA184" s="331"/>
      <c r="DB184" s="331"/>
      <c r="DC184" s="331"/>
      <c r="DD184" s="1">
        <f t="shared" si="58"/>
        <v>0</v>
      </c>
      <c r="DE184" s="1"/>
      <c r="DF184" s="1"/>
      <c r="DG184" s="1"/>
      <c r="DH184" s="1"/>
      <c r="DI184" s="1"/>
      <c r="DJ184" s="1"/>
      <c r="DK184" s="1"/>
      <c r="DL184" s="1"/>
      <c r="DM184" s="1"/>
      <c r="DN184" s="1"/>
      <c r="DO184" s="1"/>
      <c r="DP184" s="1"/>
      <c r="DQ184" s="1"/>
    </row>
    <row r="185" spans="1:121" s="624" customFormat="1" x14ac:dyDescent="0.2">
      <c r="A185" s="469" t="s">
        <v>1523</v>
      </c>
      <c r="B185" s="469" t="s">
        <v>107</v>
      </c>
      <c r="C185" s="469" t="s">
        <v>1524</v>
      </c>
      <c r="D185" s="469" t="s">
        <v>400</v>
      </c>
      <c r="E185" s="469"/>
      <c r="F185" s="469"/>
      <c r="G185" s="469" t="s">
        <v>49</v>
      </c>
      <c r="H185" s="469" t="s">
        <v>328</v>
      </c>
      <c r="I185" s="469" t="s">
        <v>316</v>
      </c>
      <c r="J185" s="625">
        <v>45149</v>
      </c>
      <c r="K185" s="625">
        <v>46245</v>
      </c>
      <c r="L185" s="626" t="s">
        <v>1492</v>
      </c>
      <c r="M185" s="626"/>
      <c r="N185" s="626">
        <v>0</v>
      </c>
      <c r="O185" s="626">
        <v>0</v>
      </c>
      <c r="P185" s="627" t="e">
        <v>#VALUE!</v>
      </c>
      <c r="Q185" s="626">
        <v>0</v>
      </c>
      <c r="R185" s="626">
        <v>0</v>
      </c>
      <c r="S185" s="626">
        <v>0</v>
      </c>
      <c r="T185" s="626" t="e">
        <v>#VALUE!</v>
      </c>
      <c r="U185" s="626">
        <v>0</v>
      </c>
      <c r="V185" s="626">
        <v>0</v>
      </c>
      <c r="W185" s="626">
        <v>0</v>
      </c>
      <c r="X185" s="626" t="e">
        <v>#VALUE!</v>
      </c>
      <c r="Y185" s="626">
        <v>0</v>
      </c>
      <c r="Z185" s="635" t="e">
        <f t="shared" si="57"/>
        <v>#VALUE!</v>
      </c>
      <c r="AA185" s="401">
        <f t="shared" si="54"/>
        <v>2857874.33</v>
      </c>
      <c r="AB185" s="401" t="e">
        <f t="shared" si="55"/>
        <v>#VALUE!</v>
      </c>
      <c r="AC185" s="636" t="e">
        <f t="shared" si="56"/>
        <v>#VALUE!</v>
      </c>
      <c r="AD185" s="636"/>
      <c r="AE185" s="636"/>
      <c r="AF185" s="636"/>
      <c r="AG185" s="636"/>
      <c r="AH185" s="469">
        <v>2747722.3200000003</v>
      </c>
      <c r="AI185" s="637">
        <v>36</v>
      </c>
      <c r="AJ185" s="637" t="s">
        <v>1304</v>
      </c>
      <c r="AK185" s="637">
        <v>0</v>
      </c>
      <c r="AL185" s="637">
        <v>0</v>
      </c>
      <c r="AM185" s="637" t="s">
        <v>53</v>
      </c>
      <c r="AN185" s="637" t="s">
        <v>53</v>
      </c>
      <c r="AO185" s="637" t="s">
        <v>53</v>
      </c>
      <c r="AP185" s="637" t="s">
        <v>54</v>
      </c>
      <c r="AR185" s="630"/>
      <c r="AS185" s="631"/>
      <c r="AT185" s="631"/>
      <c r="AU185" s="631"/>
      <c r="AV185" s="631"/>
      <c r="AW185" s="631"/>
      <c r="AX185" s="631"/>
      <c r="AY185" s="631"/>
      <c r="AZ185" s="631"/>
      <c r="BA185" s="631"/>
      <c r="BB185" s="631"/>
      <c r="BC185" s="631"/>
      <c r="BD185" s="632"/>
      <c r="BE185" s="631"/>
      <c r="BF185" s="631"/>
      <c r="BG185" s="631"/>
      <c r="BH185" s="631"/>
      <c r="BI185" s="631"/>
      <c r="BJ185" s="631"/>
      <c r="BK185" s="631"/>
      <c r="BL185" s="631"/>
      <c r="BM185" s="631"/>
      <c r="BN185" s="631"/>
      <c r="BO185" s="631"/>
      <c r="BP185" s="631"/>
      <c r="BQ185" s="633"/>
      <c r="BR185" s="631"/>
      <c r="BS185" s="631"/>
      <c r="BT185" s="631"/>
      <c r="BU185" s="631"/>
      <c r="BV185" s="631"/>
      <c r="BW185" s="631"/>
      <c r="BX185" s="631"/>
      <c r="BY185" s="631"/>
      <c r="BZ185" s="631"/>
      <c r="CA185" s="631"/>
      <c r="CB185" s="631"/>
      <c r="CC185" s="631"/>
      <c r="CD185" s="631"/>
      <c r="CL185" s="624">
        <v>944160.12</v>
      </c>
      <c r="CM185" s="624">
        <v>1605072.2</v>
      </c>
      <c r="CR185" s="469"/>
      <c r="CS185" s="469"/>
      <c r="CT185" s="469"/>
      <c r="CU185" s="469"/>
      <c r="CV185" s="469"/>
      <c r="CW185" s="469"/>
      <c r="CX185" s="469"/>
      <c r="CY185" s="469">
        <v>1142650.1200000001</v>
      </c>
      <c r="CZ185" s="469">
        <v>1605072.2</v>
      </c>
      <c r="DA185" s="469">
        <v>110152.01</v>
      </c>
      <c r="DB185" s="469"/>
      <c r="DC185" s="469"/>
      <c r="DD185" s="469">
        <f t="shared" si="58"/>
        <v>2857874.33</v>
      </c>
      <c r="DE185" s="469"/>
      <c r="DF185" s="469"/>
      <c r="DG185" s="469"/>
      <c r="DH185" s="469"/>
      <c r="DI185" s="469"/>
      <c r="DJ185" s="469"/>
      <c r="DK185" s="469"/>
      <c r="DL185" s="469"/>
      <c r="DM185" s="469"/>
      <c r="DN185" s="469"/>
      <c r="DO185" s="469"/>
      <c r="DP185" s="469"/>
      <c r="DQ185" s="469"/>
    </row>
    <row r="186" spans="1:121" s="624" customFormat="1" x14ac:dyDescent="0.2">
      <c r="A186" s="469" t="s">
        <v>1641</v>
      </c>
      <c r="B186" s="469" t="s">
        <v>107</v>
      </c>
      <c r="C186" s="469" t="s">
        <v>1637</v>
      </c>
      <c r="D186" s="469" t="s">
        <v>511</v>
      </c>
      <c r="E186" s="469"/>
      <c r="F186" s="469"/>
      <c r="G186" s="469" t="s">
        <v>49</v>
      </c>
      <c r="H186" s="469" t="s">
        <v>328</v>
      </c>
      <c r="I186" s="469" t="s">
        <v>316</v>
      </c>
      <c r="J186" s="625">
        <v>45376</v>
      </c>
      <c r="K186" s="625">
        <v>46471</v>
      </c>
      <c r="L186" s="626" t="s">
        <v>1492</v>
      </c>
      <c r="M186" s="626"/>
      <c r="N186" s="626"/>
      <c r="O186" s="626"/>
      <c r="P186" s="627"/>
      <c r="Q186" s="626"/>
      <c r="R186" s="626"/>
      <c r="S186" s="626">
        <v>0</v>
      </c>
      <c r="T186" s="626"/>
      <c r="U186" s="626"/>
      <c r="V186" s="626"/>
      <c r="W186" s="626"/>
      <c r="X186" s="626"/>
      <c r="Y186" s="626">
        <v>0</v>
      </c>
      <c r="Z186" s="628">
        <f t="shared" si="57"/>
        <v>0</v>
      </c>
      <c r="AA186" s="547">
        <f t="shared" si="54"/>
        <v>174500</v>
      </c>
      <c r="AB186" s="547">
        <f t="shared" si="55"/>
        <v>174500</v>
      </c>
      <c r="AC186" s="629" t="e">
        <f t="shared" si="56"/>
        <v>#VALUE!</v>
      </c>
      <c r="AD186" s="629"/>
      <c r="AE186" s="629"/>
      <c r="AF186" s="629"/>
      <c r="AG186" s="629"/>
      <c r="AH186" s="469">
        <v>0</v>
      </c>
      <c r="AI186" s="617">
        <v>36</v>
      </c>
      <c r="AJ186" s="617" t="s">
        <v>1304</v>
      </c>
      <c r="AK186" s="617">
        <v>0</v>
      </c>
      <c r="AL186" s="617">
        <v>0</v>
      </c>
      <c r="AM186" s="617" t="s">
        <v>53</v>
      </c>
      <c r="AN186" s="617" t="s">
        <v>53</v>
      </c>
      <c r="AO186" s="617" t="s">
        <v>53</v>
      </c>
      <c r="AP186" s="617" t="s">
        <v>54</v>
      </c>
      <c r="AR186" s="630"/>
      <c r="AS186" s="631"/>
      <c r="AT186" s="631"/>
      <c r="AU186" s="631"/>
      <c r="AV186" s="631"/>
      <c r="AW186" s="631"/>
      <c r="AX186" s="631"/>
      <c r="AY186" s="631"/>
      <c r="AZ186" s="631"/>
      <c r="BA186" s="631"/>
      <c r="BB186" s="631"/>
      <c r="BC186" s="631"/>
      <c r="BD186" s="632"/>
      <c r="BE186" s="631"/>
      <c r="BF186" s="631"/>
      <c r="BG186" s="631"/>
      <c r="BH186" s="631"/>
      <c r="BI186" s="631"/>
      <c r="BJ186" s="631"/>
      <c r="BK186" s="631"/>
      <c r="BL186" s="631"/>
      <c r="BM186" s="631"/>
      <c r="BN186" s="631"/>
      <c r="BO186" s="631"/>
      <c r="BP186" s="631"/>
      <c r="BQ186" s="633"/>
      <c r="BR186" s="631"/>
      <c r="BS186" s="631"/>
      <c r="BT186" s="631"/>
      <c r="BU186" s="631"/>
      <c r="BV186" s="631"/>
      <c r="BW186" s="631"/>
      <c r="BX186" s="631"/>
      <c r="BY186" s="631"/>
      <c r="BZ186" s="631"/>
      <c r="CA186" s="631"/>
      <c r="CB186" s="631"/>
      <c r="CC186" s="631"/>
      <c r="CD186" s="631"/>
      <c r="CR186" s="469"/>
      <c r="CS186" s="469"/>
      <c r="CT186" s="469"/>
      <c r="CU186" s="469"/>
      <c r="CV186" s="469"/>
      <c r="CW186" s="469"/>
      <c r="CX186" s="469"/>
      <c r="CY186" s="469"/>
      <c r="CZ186" s="469"/>
      <c r="DA186" s="469"/>
      <c r="DB186" s="469">
        <v>174500</v>
      </c>
      <c r="DC186" s="469"/>
      <c r="DD186" s="469">
        <f t="shared" si="58"/>
        <v>174500</v>
      </c>
      <c r="DE186" s="469"/>
      <c r="DF186" s="469"/>
      <c r="DG186" s="469"/>
      <c r="DH186" s="469">
        <v>178000</v>
      </c>
      <c r="DI186" s="469"/>
      <c r="DJ186" s="469"/>
      <c r="DK186" s="469"/>
      <c r="DL186" s="469"/>
      <c r="DM186" s="469">
        <v>135500</v>
      </c>
      <c r="DN186" s="469"/>
      <c r="DO186" s="469"/>
      <c r="DP186" s="469"/>
      <c r="DQ186" s="469"/>
    </row>
    <row r="187" spans="1:121" s="624" customFormat="1" x14ac:dyDescent="0.2">
      <c r="A187" s="469" t="s">
        <v>1641</v>
      </c>
      <c r="B187" s="469" t="s">
        <v>107</v>
      </c>
      <c r="C187" s="469" t="s">
        <v>1638</v>
      </c>
      <c r="D187" s="469" t="s">
        <v>1634</v>
      </c>
      <c r="E187" s="469"/>
      <c r="F187" s="469"/>
      <c r="G187" s="469" t="s">
        <v>49</v>
      </c>
      <c r="H187" s="469" t="s">
        <v>328</v>
      </c>
      <c r="I187" s="469" t="s">
        <v>316</v>
      </c>
      <c r="J187" s="625">
        <v>45376</v>
      </c>
      <c r="K187" s="625">
        <v>46471</v>
      </c>
      <c r="L187" s="626" t="s">
        <v>1492</v>
      </c>
      <c r="M187" s="626"/>
      <c r="N187" s="626"/>
      <c r="O187" s="626"/>
      <c r="P187" s="627"/>
      <c r="Q187" s="626"/>
      <c r="R187" s="626"/>
      <c r="S187" s="626"/>
      <c r="T187" s="626"/>
      <c r="U187" s="626"/>
      <c r="V187" s="626"/>
      <c r="W187" s="626"/>
      <c r="X187" s="626"/>
      <c r="Y187" s="626"/>
      <c r="Z187" s="628">
        <f t="shared" si="57"/>
        <v>0</v>
      </c>
      <c r="AA187" s="547">
        <f t="shared" si="54"/>
        <v>35017.5</v>
      </c>
      <c r="AB187" s="547">
        <f t="shared" si="55"/>
        <v>35017.5</v>
      </c>
      <c r="AC187" s="629" t="e">
        <f t="shared" si="56"/>
        <v>#VALUE!</v>
      </c>
      <c r="AD187" s="629"/>
      <c r="AE187" s="629"/>
      <c r="AF187" s="629"/>
      <c r="AG187" s="629"/>
      <c r="AH187" s="469">
        <v>0</v>
      </c>
      <c r="AI187" s="617">
        <v>12</v>
      </c>
      <c r="AJ187" s="617" t="s">
        <v>1304</v>
      </c>
      <c r="AK187" s="617">
        <v>0</v>
      </c>
      <c r="AL187" s="617">
        <v>0</v>
      </c>
      <c r="AM187" s="617" t="s">
        <v>53</v>
      </c>
      <c r="AN187" s="617" t="s">
        <v>53</v>
      </c>
      <c r="AO187" s="617" t="s">
        <v>53</v>
      </c>
      <c r="AP187" s="617" t="s">
        <v>54</v>
      </c>
      <c r="AR187" s="630"/>
      <c r="AS187" s="631"/>
      <c r="AT187" s="631"/>
      <c r="AU187" s="631"/>
      <c r="AV187" s="631"/>
      <c r="AW187" s="631"/>
      <c r="AX187" s="631"/>
      <c r="AY187" s="631"/>
      <c r="AZ187" s="631"/>
      <c r="BA187" s="631"/>
      <c r="BB187" s="631"/>
      <c r="BC187" s="631"/>
      <c r="BD187" s="632"/>
      <c r="BE187" s="631"/>
      <c r="BF187" s="631"/>
      <c r="BG187" s="631"/>
      <c r="BH187" s="631"/>
      <c r="BI187" s="631"/>
      <c r="BJ187" s="631"/>
      <c r="BK187" s="631"/>
      <c r="BL187" s="631"/>
      <c r="BM187" s="631"/>
      <c r="BN187" s="631"/>
      <c r="BO187" s="631"/>
      <c r="BP187" s="631"/>
      <c r="BQ187" s="633"/>
      <c r="BR187" s="631"/>
      <c r="BS187" s="631"/>
      <c r="BT187" s="631"/>
      <c r="BU187" s="631"/>
      <c r="BV187" s="631"/>
      <c r="BW187" s="631"/>
      <c r="BX187" s="631"/>
      <c r="BY187" s="631"/>
      <c r="BZ187" s="631"/>
      <c r="CA187" s="631"/>
      <c r="CB187" s="631"/>
      <c r="CC187" s="631"/>
      <c r="CD187" s="631"/>
      <c r="CR187" s="469"/>
      <c r="CS187" s="469"/>
      <c r="CT187" s="469"/>
      <c r="CU187" s="469"/>
      <c r="CV187" s="469"/>
      <c r="CW187" s="469"/>
      <c r="CX187" s="469"/>
      <c r="CY187" s="469"/>
      <c r="CZ187" s="469"/>
      <c r="DA187" s="469"/>
      <c r="DB187" s="469"/>
      <c r="DC187" s="469">
        <v>35017.5</v>
      </c>
      <c r="DD187" s="469">
        <f t="shared" si="58"/>
        <v>35017.5</v>
      </c>
      <c r="DE187" s="469"/>
      <c r="DF187" s="469">
        <v>8700</v>
      </c>
      <c r="DG187" s="469"/>
      <c r="DH187" s="469"/>
      <c r="DI187" s="469">
        <v>11672.5</v>
      </c>
      <c r="DJ187" s="469"/>
      <c r="DK187" s="469"/>
      <c r="DL187" s="469"/>
      <c r="DM187" s="469">
        <v>8700</v>
      </c>
      <c r="DN187" s="469"/>
      <c r="DO187" s="469"/>
      <c r="DP187" s="469"/>
      <c r="DQ187" s="469"/>
    </row>
    <row r="188" spans="1:121" s="624" customFormat="1" x14ac:dyDescent="0.2">
      <c r="A188" s="469" t="s">
        <v>1642</v>
      </c>
      <c r="B188" s="469" t="s">
        <v>107</v>
      </c>
      <c r="C188" s="469" t="s">
        <v>1639</v>
      </c>
      <c r="D188" s="469" t="s">
        <v>1635</v>
      </c>
      <c r="E188" s="469"/>
      <c r="F188" s="469"/>
      <c r="G188" s="469" t="s">
        <v>49</v>
      </c>
      <c r="H188" s="469" t="s">
        <v>328</v>
      </c>
      <c r="I188" s="469" t="s">
        <v>316</v>
      </c>
      <c r="J188" s="625">
        <v>45376</v>
      </c>
      <c r="K188" s="625">
        <v>46471</v>
      </c>
      <c r="L188" s="626" t="s">
        <v>1644</v>
      </c>
      <c r="M188" s="626"/>
      <c r="N188" s="626"/>
      <c r="O188" s="626"/>
      <c r="P188" s="627"/>
      <c r="Q188" s="626"/>
      <c r="R188" s="626"/>
      <c r="S188" s="626"/>
      <c r="T188" s="626"/>
      <c r="U188" s="626"/>
      <c r="V188" s="626"/>
      <c r="W188" s="626"/>
      <c r="X188" s="626"/>
      <c r="Y188" s="626"/>
      <c r="Z188" s="628">
        <f t="shared" si="57"/>
        <v>0</v>
      </c>
      <c r="AA188" s="547">
        <f t="shared" si="54"/>
        <v>10424.75</v>
      </c>
      <c r="AB188" s="547">
        <f t="shared" si="55"/>
        <v>10424.75</v>
      </c>
      <c r="AC188" s="629" t="e">
        <f t="shared" si="56"/>
        <v>#VALUE!</v>
      </c>
      <c r="AD188" s="629"/>
      <c r="AE188" s="629"/>
      <c r="AF188" s="629"/>
      <c r="AG188" s="629"/>
      <c r="AH188" s="469">
        <v>0</v>
      </c>
      <c r="AI188" s="617">
        <v>12</v>
      </c>
      <c r="AJ188" s="617" t="s">
        <v>1304</v>
      </c>
      <c r="AK188" s="617">
        <v>0</v>
      </c>
      <c r="AL188" s="617">
        <v>0</v>
      </c>
      <c r="AM188" s="617" t="s">
        <v>53</v>
      </c>
      <c r="AN188" s="617" t="s">
        <v>53</v>
      </c>
      <c r="AO188" s="617" t="s">
        <v>53</v>
      </c>
      <c r="AP188" s="617" t="s">
        <v>54</v>
      </c>
      <c r="AR188" s="630"/>
      <c r="AS188" s="631"/>
      <c r="AT188" s="631"/>
      <c r="AU188" s="631"/>
      <c r="AV188" s="631"/>
      <c r="AW188" s="631"/>
      <c r="AX188" s="631"/>
      <c r="AY188" s="631"/>
      <c r="AZ188" s="631"/>
      <c r="BA188" s="631"/>
      <c r="BB188" s="631"/>
      <c r="BC188" s="631"/>
      <c r="BD188" s="632"/>
      <c r="BE188" s="631"/>
      <c r="BF188" s="631"/>
      <c r="BG188" s="631"/>
      <c r="BH188" s="631"/>
      <c r="BI188" s="631"/>
      <c r="BJ188" s="631"/>
      <c r="BK188" s="631"/>
      <c r="BL188" s="631"/>
      <c r="BM188" s="631"/>
      <c r="BN188" s="631"/>
      <c r="BO188" s="631"/>
      <c r="BP188" s="631"/>
      <c r="BQ188" s="633"/>
      <c r="BR188" s="631"/>
      <c r="BS188" s="631"/>
      <c r="BT188" s="631"/>
      <c r="BU188" s="631"/>
      <c r="BV188" s="631"/>
      <c r="BW188" s="631"/>
      <c r="BX188" s="631"/>
      <c r="BY188" s="631"/>
      <c r="BZ188" s="631"/>
      <c r="CA188" s="631"/>
      <c r="CB188" s="631"/>
      <c r="CC188" s="631"/>
      <c r="CD188" s="631"/>
      <c r="CR188" s="469"/>
      <c r="CS188" s="469"/>
      <c r="CT188" s="469"/>
      <c r="CU188" s="469"/>
      <c r="CV188" s="469"/>
      <c r="CW188" s="469"/>
      <c r="CX188" s="469"/>
      <c r="CY188" s="469"/>
      <c r="CZ188" s="469"/>
      <c r="DA188" s="469"/>
      <c r="DB188" s="469"/>
      <c r="DC188" s="469">
        <v>10424.75</v>
      </c>
      <c r="DD188" s="469">
        <f t="shared" si="58"/>
        <v>10424.75</v>
      </c>
      <c r="DE188" s="469"/>
      <c r="DF188" s="469"/>
      <c r="DG188" s="469">
        <v>3582.25</v>
      </c>
      <c r="DH188" s="469"/>
      <c r="DI188" s="469"/>
      <c r="DJ188" s="469"/>
      <c r="DK188" s="469"/>
      <c r="DL188" s="469"/>
      <c r="DM188" s="469"/>
      <c r="DN188" s="469"/>
      <c r="DO188" s="469"/>
      <c r="DP188" s="469"/>
      <c r="DQ188" s="469"/>
    </row>
    <row r="189" spans="1:121" s="624" customFormat="1" ht="15" x14ac:dyDescent="0.25">
      <c r="A189" s="673" t="s">
        <v>1643</v>
      </c>
      <c r="B189" s="673" t="s">
        <v>107</v>
      </c>
      <c r="C189" s="673" t="s">
        <v>1640</v>
      </c>
      <c r="D189" s="673" t="s">
        <v>1636</v>
      </c>
      <c r="E189" s="673"/>
      <c r="F189" s="673"/>
      <c r="G189" s="673" t="s">
        <v>49</v>
      </c>
      <c r="H189" s="673" t="s">
        <v>328</v>
      </c>
      <c r="I189" s="673" t="s">
        <v>316</v>
      </c>
      <c r="J189" s="992">
        <v>45376</v>
      </c>
      <c r="K189" s="992">
        <v>46471</v>
      </c>
      <c r="L189" s="914" t="s">
        <v>1644</v>
      </c>
      <c r="M189" s="914"/>
      <c r="N189" s="914"/>
      <c r="O189" s="914"/>
      <c r="P189" s="993"/>
      <c r="Q189" s="914"/>
      <c r="R189" s="914"/>
      <c r="S189" s="914"/>
      <c r="T189" s="914"/>
      <c r="U189" s="914"/>
      <c r="V189" s="914"/>
      <c r="W189" s="914"/>
      <c r="X189" s="914"/>
      <c r="Y189" s="914"/>
      <c r="Z189" s="994">
        <f t="shared" si="57"/>
        <v>0</v>
      </c>
      <c r="AA189" s="915">
        <f t="shared" si="54"/>
        <v>148120</v>
      </c>
      <c r="AB189" s="915">
        <f t="shared" si="55"/>
        <v>148120</v>
      </c>
      <c r="AC189" s="995" t="e">
        <f t="shared" si="56"/>
        <v>#VALUE!</v>
      </c>
      <c r="AD189" s="995"/>
      <c r="AE189" s="995"/>
      <c r="AF189" s="995"/>
      <c r="AG189" s="995"/>
      <c r="AH189" s="673">
        <v>0</v>
      </c>
      <c r="AI189" s="697">
        <v>36</v>
      </c>
      <c r="AJ189" s="697" t="s">
        <v>1304</v>
      </c>
      <c r="AK189" s="697">
        <v>0</v>
      </c>
      <c r="AL189" s="697">
        <v>0</v>
      </c>
      <c r="AM189" s="697" t="s">
        <v>53</v>
      </c>
      <c r="AN189" s="697" t="s">
        <v>53</v>
      </c>
      <c r="AO189" s="697" t="s">
        <v>53</v>
      </c>
      <c r="AP189" s="697" t="s">
        <v>54</v>
      </c>
      <c r="AR189" s="630"/>
      <c r="AS189" s="631"/>
      <c r="AT189" s="631"/>
      <c r="AU189" s="631"/>
      <c r="AV189" s="631"/>
      <c r="AW189" s="631"/>
      <c r="AX189" s="631"/>
      <c r="AY189" s="631"/>
      <c r="AZ189" s="631"/>
      <c r="BA189" s="631"/>
      <c r="BB189" s="631"/>
      <c r="BC189" s="631"/>
      <c r="BD189" s="632"/>
      <c r="BE189" s="631"/>
      <c r="BF189" s="631"/>
      <c r="BG189" s="631"/>
      <c r="BH189" s="631"/>
      <c r="BI189" s="631"/>
      <c r="BJ189" s="631"/>
      <c r="BK189" s="631"/>
      <c r="BL189" s="631"/>
      <c r="BM189" s="631"/>
      <c r="BN189" s="631"/>
      <c r="BO189" s="631"/>
      <c r="BP189" s="631"/>
      <c r="BQ189" s="633"/>
      <c r="BR189" s="631"/>
      <c r="BS189" s="631"/>
      <c r="BT189" s="631"/>
      <c r="BU189" s="631"/>
      <c r="BV189" s="631"/>
      <c r="BW189" s="631"/>
      <c r="BX189" s="631"/>
      <c r="BY189" s="631"/>
      <c r="BZ189" s="631"/>
      <c r="CA189" s="631"/>
      <c r="CB189" s="631"/>
      <c r="CC189" s="631"/>
      <c r="CD189" s="631"/>
      <c r="CR189" s="673"/>
      <c r="CS189" s="673"/>
      <c r="CT189" s="673"/>
      <c r="CU189" s="673"/>
      <c r="CV189" s="673"/>
      <c r="CW189" s="673"/>
      <c r="CX189" s="673"/>
      <c r="CY189" s="673"/>
      <c r="CZ189" s="673"/>
      <c r="DA189" s="996">
        <v>148120</v>
      </c>
      <c r="DB189" s="673"/>
      <c r="DC189" s="673"/>
      <c r="DD189" s="469">
        <f t="shared" si="58"/>
        <v>148120</v>
      </c>
      <c r="DE189" s="469"/>
      <c r="DF189" s="469"/>
      <c r="DG189" s="469"/>
      <c r="DH189" s="469"/>
      <c r="DI189" s="469"/>
      <c r="DJ189" s="469"/>
      <c r="DK189" s="469"/>
      <c r="DL189" s="469"/>
      <c r="DM189" s="469"/>
      <c r="DN189" s="469">
        <v>61180</v>
      </c>
      <c r="DO189" s="469">
        <v>6440</v>
      </c>
      <c r="DP189" s="469"/>
      <c r="DQ189" s="469"/>
    </row>
    <row r="190" spans="1:121" x14ac:dyDescent="0.2">
      <c r="A190" s="854" t="s">
        <v>1441</v>
      </c>
      <c r="B190" s="775" t="s">
        <v>107</v>
      </c>
      <c r="C190" s="833" t="s">
        <v>1645</v>
      </c>
      <c r="D190" s="1" t="s">
        <v>1648</v>
      </c>
      <c r="E190" s="1"/>
      <c r="F190" s="1"/>
      <c r="G190" s="775" t="s">
        <v>49</v>
      </c>
      <c r="H190" s="1" t="s">
        <v>328</v>
      </c>
      <c r="I190" s="1" t="s">
        <v>316</v>
      </c>
      <c r="J190" s="115">
        <v>45246</v>
      </c>
      <c r="K190" s="115">
        <v>46342</v>
      </c>
      <c r="L190" s="116" t="s">
        <v>1492</v>
      </c>
      <c r="M190" s="116"/>
      <c r="N190" s="116"/>
      <c r="O190" s="116"/>
      <c r="P190" s="375"/>
      <c r="Q190" s="116"/>
      <c r="R190" s="116"/>
      <c r="S190" s="116"/>
      <c r="T190" s="116"/>
      <c r="U190" s="116"/>
      <c r="V190" s="116"/>
      <c r="W190" s="116"/>
      <c r="X190" s="116"/>
      <c r="Y190" s="116"/>
      <c r="Z190" s="116"/>
      <c r="AA190" s="116"/>
      <c r="AB190" s="116"/>
      <c r="AC190" s="116"/>
      <c r="AD190" s="116"/>
      <c r="AE190" s="116"/>
      <c r="AF190" s="116"/>
      <c r="AG190" s="116"/>
      <c r="AH190" s="1"/>
      <c r="AI190" s="46"/>
      <c r="AJ190" s="46"/>
      <c r="AK190" s="46"/>
      <c r="AL190" s="46"/>
      <c r="AM190" s="46"/>
      <c r="AN190" s="46"/>
      <c r="AO190" s="46"/>
      <c r="AP190" s="46"/>
      <c r="AQ190" s="1"/>
      <c r="AR190" s="15"/>
      <c r="AS190" s="15"/>
      <c r="AT190" s="15"/>
      <c r="AU190" s="15"/>
      <c r="AV190" s="15"/>
      <c r="AW190" s="15"/>
      <c r="AX190" s="15"/>
      <c r="AY190" s="15"/>
      <c r="AZ190" s="15"/>
      <c r="BA190" s="15"/>
      <c r="BB190" s="15"/>
      <c r="BC190" s="15"/>
      <c r="BD190" s="102"/>
      <c r="BE190" s="15"/>
      <c r="BF190" s="15"/>
      <c r="BG190" s="15"/>
      <c r="BH190" s="15"/>
      <c r="BI190" s="15"/>
      <c r="BJ190" s="15"/>
      <c r="BK190" s="15"/>
      <c r="BL190" s="15"/>
      <c r="BM190" s="15"/>
      <c r="BN190" s="15"/>
      <c r="BO190" s="15"/>
      <c r="BP190" s="15"/>
      <c r="BQ190" s="242"/>
      <c r="BR190" s="15"/>
      <c r="BS190" s="15"/>
      <c r="BT190" s="15"/>
      <c r="BU190" s="15"/>
      <c r="BV190" s="15"/>
      <c r="BW190" s="15"/>
      <c r="BX190" s="15"/>
      <c r="BY190" s="15"/>
      <c r="BZ190" s="15"/>
      <c r="CA190" s="15"/>
      <c r="CB190" s="15"/>
      <c r="CC190" s="15"/>
      <c r="CD190" s="15"/>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f t="shared" si="58"/>
        <v>0</v>
      </c>
      <c r="DE190" s="1"/>
      <c r="DF190" s="1"/>
      <c r="DG190" s="1"/>
      <c r="DH190" s="1"/>
      <c r="DI190" s="1"/>
      <c r="DJ190" s="1"/>
      <c r="DK190" s="1"/>
      <c r="DL190" s="1"/>
      <c r="DM190" s="1"/>
      <c r="DN190" s="1"/>
      <c r="DO190" s="1"/>
      <c r="DP190" s="1"/>
      <c r="DQ190" s="1"/>
    </row>
    <row r="191" spans="1:121" x14ac:dyDescent="0.2">
      <c r="A191" s="855"/>
      <c r="B191" s="775"/>
      <c r="C191" s="833"/>
      <c r="D191" s="1" t="s">
        <v>1649</v>
      </c>
      <c r="E191" s="1"/>
      <c r="F191" s="1"/>
      <c r="G191" s="775"/>
      <c r="H191" s="1"/>
      <c r="I191" s="1"/>
      <c r="J191" s="1"/>
      <c r="K191" s="1"/>
      <c r="L191" s="116"/>
      <c r="M191" s="116"/>
      <c r="N191" s="116"/>
      <c r="O191" s="116"/>
      <c r="P191" s="375"/>
      <c r="Q191" s="116"/>
      <c r="R191" s="116"/>
      <c r="S191" s="116"/>
      <c r="T191" s="116"/>
      <c r="U191" s="116"/>
      <c r="V191" s="116"/>
      <c r="W191" s="116"/>
      <c r="X191" s="116"/>
      <c r="Y191" s="116"/>
      <c r="Z191" s="116"/>
      <c r="AA191" s="116"/>
      <c r="AB191" s="116"/>
      <c r="AC191" s="116"/>
      <c r="AD191" s="116"/>
      <c r="AE191" s="116"/>
      <c r="AF191" s="116"/>
      <c r="AG191" s="116"/>
      <c r="AH191" s="1"/>
      <c r="AI191" s="46"/>
      <c r="AJ191" s="46"/>
      <c r="AK191" s="46"/>
      <c r="AL191" s="46"/>
      <c r="AM191" s="46"/>
      <c r="AN191" s="46"/>
      <c r="AO191" s="46"/>
      <c r="AP191" s="46"/>
      <c r="AQ191" s="1"/>
      <c r="AR191" s="15"/>
      <c r="AS191" s="15"/>
      <c r="AT191" s="15"/>
      <c r="AU191" s="15"/>
      <c r="AV191" s="15"/>
      <c r="AW191" s="15"/>
      <c r="AX191" s="15"/>
      <c r="AY191" s="15"/>
      <c r="AZ191" s="15"/>
      <c r="BA191" s="15"/>
      <c r="BB191" s="15"/>
      <c r="BC191" s="15"/>
      <c r="BD191" s="102"/>
      <c r="BE191" s="15"/>
      <c r="BF191" s="15"/>
      <c r="BG191" s="15"/>
      <c r="BH191" s="15"/>
      <c r="BI191" s="15"/>
      <c r="BJ191" s="15"/>
      <c r="BK191" s="15"/>
      <c r="BL191" s="15"/>
      <c r="BM191" s="15"/>
      <c r="BN191" s="15"/>
      <c r="BO191" s="15"/>
      <c r="BP191" s="15"/>
      <c r="BQ191" s="242"/>
      <c r="BR191" s="15"/>
      <c r="BS191" s="15"/>
      <c r="BT191" s="15"/>
      <c r="BU191" s="15"/>
      <c r="BV191" s="15"/>
      <c r="BW191" s="15"/>
      <c r="BX191" s="15"/>
      <c r="BY191" s="15"/>
      <c r="BZ191" s="15"/>
      <c r="CA191" s="15"/>
      <c r="CB191" s="15"/>
      <c r="CC191" s="15"/>
      <c r="CD191" s="15"/>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f t="shared" si="58"/>
        <v>0</v>
      </c>
      <c r="DE191" s="1"/>
      <c r="DF191" s="1"/>
      <c r="DG191" s="1"/>
      <c r="DH191" s="1"/>
      <c r="DI191" s="1"/>
      <c r="DJ191" s="1"/>
      <c r="DK191" s="1"/>
      <c r="DL191" s="1"/>
      <c r="DM191" s="1"/>
      <c r="DN191" s="1"/>
      <c r="DO191" s="1"/>
      <c r="DP191" s="1"/>
      <c r="DQ191" s="1"/>
    </row>
    <row r="192" spans="1:121" x14ac:dyDescent="0.2">
      <c r="A192" s="855"/>
      <c r="B192" s="775"/>
      <c r="C192" s="833"/>
      <c r="D192" s="1" t="s">
        <v>1295</v>
      </c>
      <c r="E192" s="1"/>
      <c r="F192" s="1"/>
      <c r="G192" s="775"/>
      <c r="H192" s="1"/>
      <c r="I192" s="1"/>
      <c r="J192" s="1"/>
      <c r="K192" s="1"/>
      <c r="L192" s="116"/>
      <c r="M192" s="116"/>
      <c r="N192" s="116"/>
      <c r="O192" s="116"/>
      <c r="P192" s="375"/>
      <c r="Q192" s="116"/>
      <c r="R192" s="116"/>
      <c r="S192" s="116"/>
      <c r="T192" s="116"/>
      <c r="U192" s="116"/>
      <c r="V192" s="116"/>
      <c r="W192" s="116"/>
      <c r="X192" s="116"/>
      <c r="Y192" s="116"/>
      <c r="Z192" s="116"/>
      <c r="AA192" s="116"/>
      <c r="AB192" s="116"/>
      <c r="AC192" s="116"/>
      <c r="AD192" s="116"/>
      <c r="AE192" s="116"/>
      <c r="AF192" s="116"/>
      <c r="AG192" s="116"/>
      <c r="AH192" s="1"/>
      <c r="AI192" s="46"/>
      <c r="AJ192" s="46"/>
      <c r="AK192" s="46"/>
      <c r="AL192" s="46"/>
      <c r="AM192" s="46"/>
      <c r="AN192" s="46"/>
      <c r="AO192" s="46"/>
      <c r="AP192" s="46"/>
      <c r="AQ192" s="1"/>
      <c r="AR192" s="15"/>
      <c r="AS192" s="15"/>
      <c r="AT192" s="15"/>
      <c r="AU192" s="15"/>
      <c r="AV192" s="15"/>
      <c r="AW192" s="15"/>
      <c r="AX192" s="15"/>
      <c r="AY192" s="15"/>
      <c r="AZ192" s="15"/>
      <c r="BA192" s="15"/>
      <c r="BB192" s="15"/>
      <c r="BC192" s="15"/>
      <c r="BD192" s="102"/>
      <c r="BE192" s="15"/>
      <c r="BF192" s="15"/>
      <c r="BG192" s="15"/>
      <c r="BH192" s="15"/>
      <c r="BI192" s="15"/>
      <c r="BJ192" s="15"/>
      <c r="BK192" s="15"/>
      <c r="BL192" s="15"/>
      <c r="BM192" s="15"/>
      <c r="BN192" s="15"/>
      <c r="BO192" s="15"/>
      <c r="BP192" s="15"/>
      <c r="BQ192" s="242"/>
      <c r="BR192" s="15"/>
      <c r="BS192" s="15"/>
      <c r="BT192" s="15"/>
      <c r="BU192" s="15"/>
      <c r="BV192" s="15"/>
      <c r="BW192" s="15"/>
      <c r="BX192" s="15"/>
      <c r="BY192" s="15"/>
      <c r="BZ192" s="15"/>
      <c r="CA192" s="15"/>
      <c r="CB192" s="15"/>
      <c r="CC192" s="15"/>
      <c r="CD192" s="15"/>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f t="shared" si="58"/>
        <v>0</v>
      </c>
      <c r="DE192" s="1"/>
      <c r="DF192" s="1"/>
      <c r="DG192" s="1"/>
      <c r="DH192" s="1"/>
      <c r="DI192" s="1"/>
      <c r="DJ192" s="1"/>
      <c r="DK192" s="1"/>
      <c r="DL192" s="1"/>
      <c r="DM192" s="1"/>
      <c r="DN192" s="1"/>
      <c r="DO192" s="1"/>
      <c r="DP192" s="1"/>
      <c r="DQ192" s="1"/>
    </row>
    <row r="193" spans="1:121" x14ac:dyDescent="0.2">
      <c r="A193" s="855"/>
      <c r="B193" s="775"/>
      <c r="C193" s="833"/>
      <c r="D193" s="1" t="s">
        <v>1650</v>
      </c>
      <c r="E193" s="118"/>
      <c r="F193" s="1"/>
      <c r="G193" s="775"/>
      <c r="H193" s="1"/>
      <c r="I193" s="1"/>
      <c r="J193" s="1"/>
      <c r="K193" s="1"/>
      <c r="L193" s="116"/>
      <c r="M193" s="116"/>
      <c r="N193" s="116"/>
      <c r="O193" s="116"/>
      <c r="P193" s="375"/>
      <c r="Q193" s="116"/>
      <c r="R193" s="116"/>
      <c r="S193" s="116"/>
      <c r="T193" s="116"/>
      <c r="U193" s="116"/>
      <c r="V193" s="116"/>
      <c r="W193" s="116"/>
      <c r="X193" s="116"/>
      <c r="Y193" s="116"/>
      <c r="Z193" s="116"/>
      <c r="AA193" s="116"/>
      <c r="AB193" s="116"/>
      <c r="AC193" s="116"/>
      <c r="AD193" s="116"/>
      <c r="AE193" s="116"/>
      <c r="AF193" s="116"/>
      <c r="AG193" s="116"/>
      <c r="AH193" s="1"/>
      <c r="AI193" s="46"/>
      <c r="AJ193" s="46"/>
      <c r="AK193" s="46"/>
      <c r="AL193" s="46"/>
      <c r="AM193" s="46"/>
      <c r="AN193" s="46"/>
      <c r="AO193" s="46"/>
      <c r="AP193" s="46"/>
      <c r="AQ193" s="1"/>
      <c r="AR193" s="15"/>
      <c r="AS193" s="15"/>
      <c r="AT193" s="15"/>
      <c r="AU193" s="15"/>
      <c r="AV193" s="15"/>
      <c r="AW193" s="15"/>
      <c r="AX193" s="15"/>
      <c r="AY193" s="15"/>
      <c r="AZ193" s="15"/>
      <c r="BA193" s="15"/>
      <c r="BB193" s="15"/>
      <c r="BC193" s="15"/>
      <c r="BD193" s="102"/>
      <c r="BE193" s="15"/>
      <c r="BF193" s="15"/>
      <c r="BG193" s="15"/>
      <c r="BH193" s="15"/>
      <c r="BI193" s="15"/>
      <c r="BJ193" s="15"/>
      <c r="BK193" s="15"/>
      <c r="BL193" s="15"/>
      <c r="BM193" s="15"/>
      <c r="BN193" s="15"/>
      <c r="BO193" s="15"/>
      <c r="BP193" s="15"/>
      <c r="BQ193" s="242"/>
      <c r="BR193" s="15"/>
      <c r="BS193" s="15"/>
      <c r="BT193" s="15"/>
      <c r="BU193" s="15"/>
      <c r="BV193" s="15"/>
      <c r="BW193" s="15"/>
      <c r="BX193" s="15"/>
      <c r="BY193" s="15"/>
      <c r="BZ193" s="15"/>
      <c r="CA193" s="15"/>
      <c r="CB193" s="15"/>
      <c r="CC193" s="15"/>
      <c r="CD193" s="15"/>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f t="shared" si="58"/>
        <v>0</v>
      </c>
      <c r="DE193" s="1"/>
      <c r="DF193" s="1"/>
      <c r="DG193" s="1"/>
      <c r="DH193" s="1"/>
      <c r="DI193" s="1"/>
      <c r="DJ193" s="1"/>
      <c r="DK193" s="1"/>
      <c r="DL193" s="1"/>
      <c r="DM193" s="1"/>
      <c r="DN193" s="1"/>
      <c r="DO193" s="1"/>
      <c r="DP193" s="1"/>
      <c r="DQ193" s="1"/>
    </row>
    <row r="194" spans="1:121" x14ac:dyDescent="0.2">
      <c r="A194" s="855"/>
      <c r="B194" s="775"/>
      <c r="C194" s="833"/>
      <c r="D194" s="1" t="s">
        <v>1593</v>
      </c>
      <c r="E194" s="1"/>
      <c r="F194" s="1"/>
      <c r="G194" s="775"/>
      <c r="H194" s="1"/>
      <c r="I194" s="1"/>
      <c r="J194" s="1"/>
      <c r="K194" s="1"/>
      <c r="L194" s="116"/>
      <c r="M194" s="116"/>
      <c r="N194" s="116"/>
      <c r="O194" s="116"/>
      <c r="P194" s="375"/>
      <c r="Q194" s="116"/>
      <c r="R194" s="116"/>
      <c r="S194" s="116"/>
      <c r="T194" s="116"/>
      <c r="U194" s="116"/>
      <c r="V194" s="116"/>
      <c r="W194" s="116"/>
      <c r="X194" s="116"/>
      <c r="Y194" s="116"/>
      <c r="Z194" s="116"/>
      <c r="AA194" s="116"/>
      <c r="AB194" s="116"/>
      <c r="AC194" s="116"/>
      <c r="AD194" s="116"/>
      <c r="AE194" s="116"/>
      <c r="AF194" s="116"/>
      <c r="AG194" s="116"/>
      <c r="AH194" s="1"/>
      <c r="AI194" s="46"/>
      <c r="AJ194" s="46"/>
      <c r="AK194" s="46"/>
      <c r="AL194" s="46"/>
      <c r="AM194" s="46"/>
      <c r="AN194" s="46"/>
      <c r="AO194" s="46"/>
      <c r="AP194" s="46"/>
      <c r="AQ194" s="1"/>
      <c r="AR194" s="15"/>
      <c r="AS194" s="15"/>
      <c r="AT194" s="15"/>
      <c r="AU194" s="15"/>
      <c r="AV194" s="15"/>
      <c r="AW194" s="15"/>
      <c r="AX194" s="15"/>
      <c r="AY194" s="15"/>
      <c r="AZ194" s="15"/>
      <c r="BA194" s="15"/>
      <c r="BB194" s="15"/>
      <c r="BC194" s="15"/>
      <c r="BD194" s="102"/>
      <c r="BE194" s="15"/>
      <c r="BF194" s="15"/>
      <c r="BG194" s="15"/>
      <c r="BH194" s="15"/>
      <c r="BI194" s="15"/>
      <c r="BJ194" s="15"/>
      <c r="BK194" s="15"/>
      <c r="BL194" s="15"/>
      <c r="BM194" s="15"/>
      <c r="BN194" s="15"/>
      <c r="BO194" s="15"/>
      <c r="BP194" s="15"/>
      <c r="BQ194" s="242"/>
      <c r="BR194" s="15"/>
      <c r="BS194" s="15"/>
      <c r="BT194" s="15"/>
      <c r="BU194" s="15"/>
      <c r="BV194" s="15"/>
      <c r="BW194" s="15"/>
      <c r="BX194" s="15"/>
      <c r="BY194" s="15"/>
      <c r="BZ194" s="15"/>
      <c r="CA194" s="15"/>
      <c r="CB194" s="15"/>
      <c r="CC194" s="15"/>
      <c r="CD194" s="15"/>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f t="shared" si="58"/>
        <v>0</v>
      </c>
      <c r="DE194" s="1"/>
      <c r="DF194" s="1"/>
      <c r="DG194" s="1"/>
      <c r="DH194" s="1"/>
      <c r="DI194" s="1"/>
      <c r="DJ194" s="1"/>
      <c r="DK194" s="1"/>
      <c r="DL194" s="1"/>
      <c r="DM194" s="1"/>
      <c r="DN194" s="1"/>
      <c r="DO194" s="1"/>
      <c r="DP194" s="1"/>
      <c r="DQ194" s="1"/>
    </row>
    <row r="195" spans="1:121" x14ac:dyDescent="0.2">
      <c r="A195" s="855"/>
      <c r="B195" s="775"/>
      <c r="C195" s="833"/>
      <c r="D195" s="1" t="s">
        <v>1651</v>
      </c>
      <c r="E195" s="1"/>
      <c r="F195" s="1"/>
      <c r="G195" s="775"/>
      <c r="H195" s="1"/>
      <c r="I195" s="1"/>
      <c r="J195" s="1"/>
      <c r="K195" s="1"/>
      <c r="L195" s="116"/>
      <c r="M195" s="116"/>
      <c r="N195" s="116"/>
      <c r="O195" s="116"/>
      <c r="P195" s="375"/>
      <c r="Q195" s="116"/>
      <c r="R195" s="116"/>
      <c r="S195" s="116"/>
      <c r="T195" s="116"/>
      <c r="U195" s="116"/>
      <c r="V195" s="116"/>
      <c r="W195" s="116"/>
      <c r="X195" s="116"/>
      <c r="Y195" s="116"/>
      <c r="Z195" s="116"/>
      <c r="AA195" s="116"/>
      <c r="AB195" s="116"/>
      <c r="AC195" s="116"/>
      <c r="AD195" s="116"/>
      <c r="AE195" s="116"/>
      <c r="AF195" s="116"/>
      <c r="AG195" s="116"/>
      <c r="AH195" s="1"/>
      <c r="AI195" s="46"/>
      <c r="AJ195" s="46"/>
      <c r="AK195" s="46"/>
      <c r="AL195" s="46"/>
      <c r="AM195" s="46"/>
      <c r="AN195" s="46"/>
      <c r="AO195" s="46"/>
      <c r="AP195" s="46"/>
      <c r="AQ195" s="1"/>
      <c r="AR195" s="15"/>
      <c r="AS195" s="15"/>
      <c r="AT195" s="15"/>
      <c r="AU195" s="15"/>
      <c r="AV195" s="15"/>
      <c r="AW195" s="15"/>
      <c r="AX195" s="15"/>
      <c r="AY195" s="15"/>
      <c r="AZ195" s="15"/>
      <c r="BA195" s="15"/>
      <c r="BB195" s="15"/>
      <c r="BC195" s="15"/>
      <c r="BD195" s="102"/>
      <c r="BE195" s="15"/>
      <c r="BF195" s="15"/>
      <c r="BG195" s="15"/>
      <c r="BH195" s="15"/>
      <c r="BI195" s="15"/>
      <c r="BJ195" s="15"/>
      <c r="BK195" s="15"/>
      <c r="BL195" s="15"/>
      <c r="BM195" s="15"/>
      <c r="BN195" s="15"/>
      <c r="BO195" s="15"/>
      <c r="BP195" s="15"/>
      <c r="BQ195" s="242"/>
      <c r="BR195" s="15"/>
      <c r="BS195" s="15"/>
      <c r="BT195" s="15"/>
      <c r="BU195" s="15"/>
      <c r="BV195" s="15"/>
      <c r="BW195" s="15"/>
      <c r="BX195" s="15"/>
      <c r="BY195" s="15"/>
      <c r="BZ195" s="15"/>
      <c r="CA195" s="15"/>
      <c r="CB195" s="15"/>
      <c r="CC195" s="15"/>
      <c r="CD195" s="15"/>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f t="shared" si="58"/>
        <v>0</v>
      </c>
      <c r="DE195" s="1"/>
      <c r="DF195" s="1"/>
      <c r="DG195" s="1"/>
      <c r="DH195" s="1"/>
      <c r="DI195" s="1"/>
      <c r="DJ195" s="1"/>
      <c r="DK195" s="1"/>
      <c r="DL195" s="1"/>
      <c r="DM195" s="1"/>
      <c r="DN195" s="1"/>
      <c r="DO195" s="1"/>
      <c r="DP195" s="1"/>
      <c r="DQ195" s="1"/>
    </row>
    <row r="196" spans="1:121" x14ac:dyDescent="0.2">
      <c r="A196" s="855"/>
      <c r="B196" s="775"/>
      <c r="C196" s="833"/>
      <c r="D196" s="1" t="s">
        <v>1440</v>
      </c>
      <c r="E196" s="1"/>
      <c r="F196" s="1"/>
      <c r="G196" s="775"/>
      <c r="H196" s="1"/>
      <c r="I196" s="1"/>
      <c r="J196" s="1"/>
      <c r="K196" s="1"/>
      <c r="L196" s="116"/>
      <c r="M196" s="116"/>
      <c r="N196" s="116"/>
      <c r="O196" s="116"/>
      <c r="P196" s="375"/>
      <c r="Q196" s="116"/>
      <c r="R196" s="116"/>
      <c r="S196" s="116"/>
      <c r="T196" s="116"/>
      <c r="U196" s="116"/>
      <c r="V196" s="116"/>
      <c r="W196" s="116"/>
      <c r="X196" s="116"/>
      <c r="Y196" s="116"/>
      <c r="Z196" s="116"/>
      <c r="AA196" s="116"/>
      <c r="AB196" s="116"/>
      <c r="AC196" s="116"/>
      <c r="AD196" s="116"/>
      <c r="AE196" s="116"/>
      <c r="AF196" s="116"/>
      <c r="AG196" s="116"/>
      <c r="AH196" s="1"/>
      <c r="AI196" s="46"/>
      <c r="AJ196" s="46"/>
      <c r="AK196" s="46"/>
      <c r="AL196" s="46"/>
      <c r="AM196" s="46"/>
      <c r="AN196" s="46"/>
      <c r="AO196" s="46"/>
      <c r="AP196" s="46"/>
      <c r="AQ196" s="1"/>
      <c r="AR196" s="15"/>
      <c r="AS196" s="15"/>
      <c r="AT196" s="15"/>
      <c r="AU196" s="15"/>
      <c r="AV196" s="15"/>
      <c r="AW196" s="15"/>
      <c r="AX196" s="15"/>
      <c r="AY196" s="15"/>
      <c r="AZ196" s="15"/>
      <c r="BA196" s="15"/>
      <c r="BB196" s="15"/>
      <c r="BC196" s="15"/>
      <c r="BD196" s="102"/>
      <c r="BE196" s="15"/>
      <c r="BF196" s="15"/>
      <c r="BG196" s="15"/>
      <c r="BH196" s="15"/>
      <c r="BI196" s="15"/>
      <c r="BJ196" s="15"/>
      <c r="BK196" s="15"/>
      <c r="BL196" s="15"/>
      <c r="BM196" s="15"/>
      <c r="BN196" s="15"/>
      <c r="BO196" s="15"/>
      <c r="BP196" s="15"/>
      <c r="BQ196" s="242"/>
      <c r="BR196" s="15"/>
      <c r="BS196" s="15"/>
      <c r="BT196" s="15"/>
      <c r="BU196" s="15"/>
      <c r="BV196" s="15"/>
      <c r="BW196" s="15"/>
      <c r="BX196" s="15"/>
      <c r="BY196" s="15"/>
      <c r="BZ196" s="15"/>
      <c r="CA196" s="15"/>
      <c r="CB196" s="15"/>
      <c r="CC196" s="15"/>
      <c r="CD196" s="15"/>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f t="shared" si="58"/>
        <v>0</v>
      </c>
      <c r="DE196" s="1"/>
      <c r="DF196" s="1"/>
      <c r="DG196" s="1"/>
      <c r="DH196" s="1"/>
      <c r="DI196" s="1"/>
      <c r="DJ196" s="1"/>
      <c r="DK196" s="1"/>
      <c r="DL196" s="1"/>
      <c r="DM196" s="1"/>
      <c r="DN196" s="1"/>
      <c r="DO196" s="1"/>
      <c r="DP196" s="1"/>
      <c r="DQ196" s="1"/>
    </row>
    <row r="197" spans="1:121" x14ac:dyDescent="0.2">
      <c r="A197" s="855"/>
      <c r="B197" s="775"/>
      <c r="C197" s="833"/>
      <c r="D197" s="1" t="s">
        <v>1652</v>
      </c>
      <c r="E197" s="1"/>
      <c r="F197" s="1"/>
      <c r="G197" s="775"/>
      <c r="H197" s="1"/>
      <c r="I197" s="1"/>
      <c r="J197" s="1"/>
      <c r="K197" s="1"/>
      <c r="L197" s="116"/>
      <c r="M197" s="116"/>
      <c r="N197" s="116"/>
      <c r="O197" s="116"/>
      <c r="P197" s="375"/>
      <c r="Q197" s="116"/>
      <c r="R197" s="116"/>
      <c r="S197" s="116"/>
      <c r="T197" s="116"/>
      <c r="U197" s="116"/>
      <c r="V197" s="116"/>
      <c r="W197" s="116"/>
      <c r="X197" s="116"/>
      <c r="Y197" s="116"/>
      <c r="Z197" s="116"/>
      <c r="AA197" s="116"/>
      <c r="AB197" s="116"/>
      <c r="AC197" s="116"/>
      <c r="AD197" s="116"/>
      <c r="AE197" s="116"/>
      <c r="AF197" s="116"/>
      <c r="AG197" s="116"/>
      <c r="AH197" s="1"/>
      <c r="AI197" s="46"/>
      <c r="AJ197" s="46"/>
      <c r="AK197" s="46"/>
      <c r="AL197" s="46"/>
      <c r="AM197" s="46"/>
      <c r="AN197" s="46"/>
      <c r="AO197" s="46"/>
      <c r="AP197" s="46"/>
      <c r="AQ197" s="1"/>
      <c r="AR197" s="15"/>
      <c r="AS197" s="15"/>
      <c r="AT197" s="15"/>
      <c r="AU197" s="15"/>
      <c r="AV197" s="15"/>
      <c r="AW197" s="15"/>
      <c r="AX197" s="15"/>
      <c r="AY197" s="15"/>
      <c r="AZ197" s="15"/>
      <c r="BA197" s="15"/>
      <c r="BB197" s="15"/>
      <c r="BC197" s="15"/>
      <c r="BD197" s="102"/>
      <c r="BE197" s="15"/>
      <c r="BF197" s="15"/>
      <c r="BG197" s="15"/>
      <c r="BH197" s="15"/>
      <c r="BI197" s="15"/>
      <c r="BJ197" s="15"/>
      <c r="BK197" s="15"/>
      <c r="BL197" s="15"/>
      <c r="BM197" s="15"/>
      <c r="BN197" s="15"/>
      <c r="BO197" s="15"/>
      <c r="BP197" s="15"/>
      <c r="BQ197" s="242"/>
      <c r="BR197" s="15"/>
      <c r="BS197" s="15"/>
      <c r="BT197" s="15"/>
      <c r="BU197" s="15"/>
      <c r="BV197" s="15"/>
      <c r="BW197" s="15"/>
      <c r="BX197" s="15"/>
      <c r="BY197" s="15"/>
      <c r="BZ197" s="15"/>
      <c r="CA197" s="15"/>
      <c r="CB197" s="15"/>
      <c r="CC197" s="15"/>
      <c r="CD197" s="15"/>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f t="shared" si="58"/>
        <v>0</v>
      </c>
      <c r="DE197" s="1"/>
      <c r="DF197" s="1"/>
      <c r="DG197" s="1"/>
      <c r="DH197" s="1"/>
      <c r="DI197" s="1"/>
      <c r="DJ197" s="1"/>
      <c r="DK197" s="1"/>
      <c r="DL197" s="1"/>
      <c r="DM197" s="1"/>
      <c r="DN197" s="1"/>
      <c r="DO197" s="1"/>
      <c r="DP197" s="1"/>
      <c r="DQ197" s="1"/>
    </row>
    <row r="198" spans="1:121" x14ac:dyDescent="0.2">
      <c r="A198" s="855"/>
      <c r="B198" s="775"/>
      <c r="C198" s="833"/>
      <c r="D198" s="1" t="s">
        <v>1653</v>
      </c>
      <c r="E198" s="1"/>
      <c r="F198" s="1"/>
      <c r="G198" s="775"/>
      <c r="H198" s="1"/>
      <c r="I198" s="1"/>
      <c r="J198" s="1"/>
      <c r="K198" s="1"/>
      <c r="L198" s="116"/>
      <c r="M198" s="116"/>
      <c r="N198" s="116"/>
      <c r="O198" s="116"/>
      <c r="P198" s="375"/>
      <c r="Q198" s="116"/>
      <c r="R198" s="116"/>
      <c r="S198" s="116"/>
      <c r="T198" s="116"/>
      <c r="U198" s="116"/>
      <c r="V198" s="116"/>
      <c r="W198" s="116"/>
      <c r="X198" s="116"/>
      <c r="Y198" s="116"/>
      <c r="Z198" s="116"/>
      <c r="AA198" s="116"/>
      <c r="AB198" s="116"/>
      <c r="AC198" s="116"/>
      <c r="AD198" s="116"/>
      <c r="AE198" s="116"/>
      <c r="AF198" s="116"/>
      <c r="AG198" s="116"/>
      <c r="AH198" s="1"/>
      <c r="AI198" s="46"/>
      <c r="AJ198" s="46"/>
      <c r="AK198" s="46"/>
      <c r="AL198" s="46"/>
      <c r="AM198" s="46"/>
      <c r="AN198" s="46"/>
      <c r="AO198" s="46"/>
      <c r="AP198" s="46"/>
      <c r="AQ198" s="1"/>
      <c r="AR198" s="15"/>
      <c r="AS198" s="15"/>
      <c r="AT198" s="15"/>
      <c r="AU198" s="15"/>
      <c r="AV198" s="15"/>
      <c r="AW198" s="15"/>
      <c r="AX198" s="15"/>
      <c r="AY198" s="15"/>
      <c r="AZ198" s="15"/>
      <c r="BA198" s="15"/>
      <c r="BB198" s="15"/>
      <c r="BC198" s="15"/>
      <c r="BD198" s="102"/>
      <c r="BE198" s="15"/>
      <c r="BF198" s="15"/>
      <c r="BG198" s="15"/>
      <c r="BH198" s="15"/>
      <c r="BI198" s="15"/>
      <c r="BJ198" s="15"/>
      <c r="BK198" s="15"/>
      <c r="BL198" s="15"/>
      <c r="BM198" s="15"/>
      <c r="BN198" s="15"/>
      <c r="BO198" s="15"/>
      <c r="BP198" s="15"/>
      <c r="BQ198" s="242"/>
      <c r="BR198" s="15"/>
      <c r="BS198" s="15"/>
      <c r="BT198" s="15"/>
      <c r="BU198" s="15"/>
      <c r="BV198" s="15"/>
      <c r="BW198" s="15"/>
      <c r="BX198" s="15"/>
      <c r="BY198" s="15"/>
      <c r="BZ198" s="15"/>
      <c r="CA198" s="15"/>
      <c r="CB198" s="15"/>
      <c r="CC198" s="15"/>
      <c r="CD198" s="15"/>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f t="shared" si="58"/>
        <v>0</v>
      </c>
      <c r="DE198" s="1"/>
      <c r="DF198" s="1"/>
      <c r="DG198" s="1"/>
      <c r="DH198" s="1"/>
      <c r="DI198" s="1"/>
      <c r="DJ198" s="1"/>
      <c r="DK198" s="1"/>
      <c r="DL198" s="1"/>
      <c r="DM198" s="1"/>
      <c r="DN198" s="1"/>
      <c r="DO198" s="1"/>
      <c r="DP198" s="1"/>
      <c r="DQ198" s="1"/>
    </row>
    <row r="199" spans="1:121" x14ac:dyDescent="0.2">
      <c r="A199" s="855"/>
      <c r="B199" s="775"/>
      <c r="C199" s="833"/>
      <c r="D199" s="1" t="s">
        <v>1654</v>
      </c>
      <c r="E199" s="1"/>
      <c r="F199" s="1"/>
      <c r="G199" s="775"/>
      <c r="H199" s="1"/>
      <c r="I199" s="1"/>
      <c r="J199" s="1"/>
      <c r="K199" s="1"/>
      <c r="L199" s="116"/>
      <c r="M199" s="116"/>
      <c r="N199" s="116"/>
      <c r="O199" s="116"/>
      <c r="P199" s="375"/>
      <c r="Q199" s="116"/>
      <c r="R199" s="116"/>
      <c r="S199" s="116"/>
      <c r="T199" s="116"/>
      <c r="U199" s="116"/>
      <c r="V199" s="116"/>
      <c r="W199" s="116"/>
      <c r="X199" s="116"/>
      <c r="Y199" s="116"/>
      <c r="Z199" s="116"/>
      <c r="AA199" s="116"/>
      <c r="AB199" s="116"/>
      <c r="AC199" s="116"/>
      <c r="AD199" s="116"/>
      <c r="AE199" s="116"/>
      <c r="AF199" s="116"/>
      <c r="AG199" s="116"/>
      <c r="AH199" s="1"/>
      <c r="AI199" s="46"/>
      <c r="AJ199" s="46"/>
      <c r="AK199" s="46"/>
      <c r="AL199" s="46"/>
      <c r="AM199" s="46"/>
      <c r="AN199" s="46"/>
      <c r="AO199" s="46"/>
      <c r="AP199" s="46"/>
      <c r="AQ199" s="1"/>
      <c r="AR199" s="15"/>
      <c r="AS199" s="15"/>
      <c r="AT199" s="15"/>
      <c r="AU199" s="15"/>
      <c r="AV199" s="15"/>
      <c r="AW199" s="15"/>
      <c r="AX199" s="15"/>
      <c r="AY199" s="15"/>
      <c r="AZ199" s="15"/>
      <c r="BA199" s="15"/>
      <c r="BB199" s="15"/>
      <c r="BC199" s="15"/>
      <c r="BD199" s="102"/>
      <c r="BE199" s="15"/>
      <c r="BF199" s="15"/>
      <c r="BG199" s="15"/>
      <c r="BH199" s="15"/>
      <c r="BI199" s="15"/>
      <c r="BJ199" s="15"/>
      <c r="BK199" s="15"/>
      <c r="BL199" s="15"/>
      <c r="BM199" s="15"/>
      <c r="BN199" s="15"/>
      <c r="BO199" s="15"/>
      <c r="BP199" s="15"/>
      <c r="BQ199" s="242"/>
      <c r="BR199" s="15"/>
      <c r="BS199" s="15"/>
      <c r="BT199" s="15"/>
      <c r="BU199" s="15"/>
      <c r="BV199" s="15"/>
      <c r="BW199" s="15"/>
      <c r="BX199" s="15"/>
      <c r="BY199" s="15"/>
      <c r="BZ199" s="15"/>
      <c r="CA199" s="15"/>
      <c r="CB199" s="15"/>
      <c r="CC199" s="15"/>
      <c r="CD199" s="15"/>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f t="shared" si="58"/>
        <v>0</v>
      </c>
      <c r="DE199" s="1"/>
      <c r="DF199" s="1"/>
      <c r="DG199" s="1"/>
      <c r="DH199" s="1"/>
      <c r="DI199" s="1"/>
      <c r="DJ199" s="1"/>
      <c r="DK199" s="1"/>
      <c r="DL199" s="1"/>
      <c r="DM199" s="1"/>
      <c r="DN199" s="1"/>
      <c r="DO199" s="1"/>
      <c r="DP199" s="1"/>
      <c r="DQ199" s="1"/>
    </row>
    <row r="200" spans="1:121" x14ac:dyDescent="0.2">
      <c r="A200" s="855"/>
      <c r="B200" s="775"/>
      <c r="C200" s="833"/>
      <c r="D200" s="1" t="s">
        <v>1655</v>
      </c>
      <c r="E200" s="1"/>
      <c r="F200" s="1"/>
      <c r="G200" s="775"/>
      <c r="H200" s="1"/>
      <c r="I200" s="1"/>
      <c r="J200" s="1"/>
      <c r="K200" s="1"/>
      <c r="L200" s="116"/>
      <c r="M200" s="116"/>
      <c r="N200" s="116"/>
      <c r="O200" s="116"/>
      <c r="P200" s="375"/>
      <c r="Q200" s="116"/>
      <c r="R200" s="116"/>
      <c r="S200" s="116"/>
      <c r="T200" s="116"/>
      <c r="U200" s="116"/>
      <c r="V200" s="116"/>
      <c r="W200" s="116"/>
      <c r="X200" s="116"/>
      <c r="Y200" s="116"/>
      <c r="Z200" s="116"/>
      <c r="AA200" s="116"/>
      <c r="AB200" s="116"/>
      <c r="AC200" s="116"/>
      <c r="AD200" s="116"/>
      <c r="AE200" s="116"/>
      <c r="AF200" s="116"/>
      <c r="AG200" s="116"/>
      <c r="AH200" s="1"/>
      <c r="AI200" s="46"/>
      <c r="AJ200" s="46"/>
      <c r="AK200" s="46"/>
      <c r="AL200" s="46"/>
      <c r="AM200" s="46"/>
      <c r="AN200" s="46"/>
      <c r="AO200" s="46"/>
      <c r="AP200" s="46"/>
      <c r="AQ200" s="1"/>
      <c r="AR200" s="15"/>
      <c r="AS200" s="15"/>
      <c r="AT200" s="15"/>
      <c r="AU200" s="15"/>
      <c r="AV200" s="15"/>
      <c r="AW200" s="15"/>
      <c r="AX200" s="15"/>
      <c r="AY200" s="15"/>
      <c r="AZ200" s="15"/>
      <c r="BA200" s="15"/>
      <c r="BB200" s="15"/>
      <c r="BC200" s="15"/>
      <c r="BD200" s="102"/>
      <c r="BE200" s="15"/>
      <c r="BF200" s="15"/>
      <c r="BG200" s="15"/>
      <c r="BH200" s="15"/>
      <c r="BI200" s="15"/>
      <c r="BJ200" s="15"/>
      <c r="BK200" s="15"/>
      <c r="BL200" s="15"/>
      <c r="BM200" s="15"/>
      <c r="BN200" s="15"/>
      <c r="BO200" s="15"/>
      <c r="BP200" s="15"/>
      <c r="BQ200" s="242"/>
      <c r="BR200" s="15"/>
      <c r="BS200" s="15"/>
      <c r="BT200" s="15"/>
      <c r="BU200" s="15"/>
      <c r="BV200" s="15"/>
      <c r="BW200" s="15"/>
      <c r="BX200" s="15"/>
      <c r="BY200" s="15"/>
      <c r="BZ200" s="15"/>
      <c r="CA200" s="15"/>
      <c r="CB200" s="15"/>
      <c r="CC200" s="15"/>
      <c r="CD200" s="15"/>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f t="shared" si="58"/>
        <v>0</v>
      </c>
      <c r="DE200" s="1"/>
      <c r="DF200" s="1"/>
      <c r="DG200" s="1"/>
      <c r="DH200" s="1"/>
      <c r="DI200" s="1"/>
      <c r="DJ200" s="1"/>
      <c r="DK200" s="1"/>
      <c r="DL200" s="1"/>
      <c r="DM200" s="1"/>
      <c r="DN200" s="1"/>
      <c r="DO200" s="1"/>
      <c r="DP200" s="1"/>
      <c r="DQ200" s="1"/>
    </row>
    <row r="201" spans="1:121" x14ac:dyDescent="0.2">
      <c r="A201" s="855"/>
      <c r="B201" s="775"/>
      <c r="C201" s="833"/>
      <c r="D201" s="1" t="s">
        <v>1656</v>
      </c>
      <c r="E201" s="1"/>
      <c r="F201" s="1"/>
      <c r="G201" s="775"/>
      <c r="H201" s="1"/>
      <c r="I201" s="1"/>
      <c r="J201" s="1"/>
      <c r="K201" s="1"/>
      <c r="L201" s="116"/>
      <c r="M201" s="116"/>
      <c r="N201" s="116"/>
      <c r="O201" s="116"/>
      <c r="P201" s="375"/>
      <c r="Q201" s="116"/>
      <c r="R201" s="116"/>
      <c r="S201" s="116"/>
      <c r="T201" s="116"/>
      <c r="U201" s="116"/>
      <c r="V201" s="116"/>
      <c r="W201" s="116"/>
      <c r="X201" s="116"/>
      <c r="Y201" s="116"/>
      <c r="Z201" s="116"/>
      <c r="AA201" s="116"/>
      <c r="AB201" s="116"/>
      <c r="AC201" s="116"/>
      <c r="AD201" s="116"/>
      <c r="AE201" s="116"/>
      <c r="AF201" s="116"/>
      <c r="AG201" s="116"/>
      <c r="AH201" s="1"/>
      <c r="AI201" s="46"/>
      <c r="AJ201" s="46"/>
      <c r="AK201" s="46"/>
      <c r="AL201" s="46"/>
      <c r="AM201" s="46"/>
      <c r="AN201" s="46"/>
      <c r="AO201" s="46"/>
      <c r="AP201" s="46"/>
      <c r="AQ201" s="1"/>
      <c r="AR201" s="15"/>
      <c r="AS201" s="15"/>
      <c r="AT201" s="15"/>
      <c r="AU201" s="15"/>
      <c r="AV201" s="15"/>
      <c r="AW201" s="15"/>
      <c r="AX201" s="15"/>
      <c r="AY201" s="15"/>
      <c r="AZ201" s="15"/>
      <c r="BA201" s="15"/>
      <c r="BB201" s="15"/>
      <c r="BC201" s="15"/>
      <c r="BD201" s="102"/>
      <c r="BE201" s="15"/>
      <c r="BF201" s="15"/>
      <c r="BG201" s="15"/>
      <c r="BH201" s="15"/>
      <c r="BI201" s="15"/>
      <c r="BJ201" s="15"/>
      <c r="BK201" s="15"/>
      <c r="BL201" s="15"/>
      <c r="BM201" s="15"/>
      <c r="BN201" s="15"/>
      <c r="BO201" s="15"/>
      <c r="BP201" s="15"/>
      <c r="BQ201" s="242"/>
      <c r="BR201" s="15"/>
      <c r="BS201" s="15"/>
      <c r="BT201" s="15"/>
      <c r="BU201" s="15"/>
      <c r="BV201" s="15"/>
      <c r="BW201" s="15"/>
      <c r="BX201" s="15"/>
      <c r="BY201" s="15"/>
      <c r="BZ201" s="15"/>
      <c r="CA201" s="15"/>
      <c r="CB201" s="15"/>
      <c r="CC201" s="15"/>
      <c r="CD201" s="15"/>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f t="shared" si="58"/>
        <v>0</v>
      </c>
      <c r="DE201" s="1"/>
      <c r="DF201" s="1"/>
      <c r="DG201" s="1"/>
      <c r="DH201" s="1"/>
      <c r="DI201" s="1"/>
      <c r="DJ201" s="1"/>
      <c r="DK201" s="1"/>
      <c r="DL201" s="1"/>
      <c r="DM201" s="1"/>
      <c r="DN201" s="1"/>
      <c r="DO201" s="1"/>
      <c r="DP201" s="1"/>
      <c r="DQ201" s="1"/>
    </row>
    <row r="202" spans="1:121" x14ac:dyDescent="0.2">
      <c r="A202" s="855"/>
      <c r="B202" s="775"/>
      <c r="C202" s="833"/>
      <c r="D202" s="1" t="s">
        <v>1657</v>
      </c>
      <c r="E202" s="1"/>
      <c r="F202" s="1"/>
      <c r="G202" s="775"/>
      <c r="H202" s="1"/>
      <c r="I202" s="1"/>
      <c r="J202" s="1"/>
      <c r="K202" s="1"/>
      <c r="L202" s="116"/>
      <c r="M202" s="116"/>
      <c r="N202" s="116"/>
      <c r="O202" s="116"/>
      <c r="P202" s="375"/>
      <c r="Q202" s="116"/>
      <c r="R202" s="116"/>
      <c r="S202" s="116"/>
      <c r="T202" s="116"/>
      <c r="U202" s="116"/>
      <c r="V202" s="116"/>
      <c r="W202" s="116"/>
      <c r="X202" s="116"/>
      <c r="Y202" s="116"/>
      <c r="Z202" s="116"/>
      <c r="AA202" s="116"/>
      <c r="AB202" s="116"/>
      <c r="AC202" s="116"/>
      <c r="AD202" s="116"/>
      <c r="AE202" s="116"/>
      <c r="AF202" s="116"/>
      <c r="AG202" s="116"/>
      <c r="AH202" s="1"/>
      <c r="AI202" s="46"/>
      <c r="AJ202" s="46"/>
      <c r="AK202" s="46"/>
      <c r="AL202" s="46"/>
      <c r="AM202" s="46"/>
      <c r="AN202" s="46"/>
      <c r="AO202" s="46"/>
      <c r="AP202" s="46"/>
      <c r="AQ202" s="1"/>
      <c r="AR202" s="15"/>
      <c r="AS202" s="15"/>
      <c r="AT202" s="15"/>
      <c r="AU202" s="15"/>
      <c r="AV202" s="15"/>
      <c r="AW202" s="15"/>
      <c r="AX202" s="15"/>
      <c r="AY202" s="15"/>
      <c r="AZ202" s="15"/>
      <c r="BA202" s="15"/>
      <c r="BB202" s="15"/>
      <c r="BC202" s="15"/>
      <c r="BD202" s="102"/>
      <c r="BE202" s="15"/>
      <c r="BF202" s="15"/>
      <c r="BG202" s="15"/>
      <c r="BH202" s="15"/>
      <c r="BI202" s="15"/>
      <c r="BJ202" s="15"/>
      <c r="BK202" s="15"/>
      <c r="BL202" s="15"/>
      <c r="BM202" s="15"/>
      <c r="BN202" s="15"/>
      <c r="BO202" s="15"/>
      <c r="BP202" s="15"/>
      <c r="BQ202" s="242"/>
      <c r="BR202" s="15"/>
      <c r="BS202" s="15"/>
      <c r="BT202" s="15"/>
      <c r="BU202" s="15"/>
      <c r="BV202" s="15"/>
      <c r="BW202" s="15"/>
      <c r="BX202" s="15"/>
      <c r="BY202" s="15"/>
      <c r="BZ202" s="15"/>
      <c r="CA202" s="15"/>
      <c r="CB202" s="15"/>
      <c r="CC202" s="15"/>
      <c r="CD202" s="15"/>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f t="shared" si="58"/>
        <v>0</v>
      </c>
      <c r="DE202" s="1"/>
      <c r="DF202" s="1"/>
      <c r="DG202" s="1"/>
      <c r="DH202" s="1"/>
      <c r="DI202" s="1"/>
      <c r="DJ202" s="1"/>
      <c r="DK202" s="1"/>
      <c r="DL202" s="1"/>
      <c r="DM202" s="1"/>
      <c r="DN202" s="1"/>
      <c r="DO202" s="1"/>
      <c r="DP202" s="1"/>
      <c r="DQ202" s="1"/>
    </row>
    <row r="203" spans="1:121" x14ac:dyDescent="0.2">
      <c r="A203" s="855"/>
      <c r="B203" s="775"/>
      <c r="C203" s="833"/>
      <c r="D203" s="1" t="s">
        <v>264</v>
      </c>
      <c r="E203" s="1"/>
      <c r="F203" s="1"/>
      <c r="G203" s="775"/>
      <c r="H203" s="1"/>
      <c r="I203" s="1"/>
      <c r="J203" s="1"/>
      <c r="K203" s="1"/>
      <c r="L203" s="116"/>
      <c r="M203" s="116"/>
      <c r="N203" s="116"/>
      <c r="O203" s="116"/>
      <c r="P203" s="375"/>
      <c r="Q203" s="116"/>
      <c r="R203" s="116"/>
      <c r="S203" s="116"/>
      <c r="T203" s="116"/>
      <c r="U203" s="116"/>
      <c r="V203" s="116"/>
      <c r="W203" s="116"/>
      <c r="X203" s="116"/>
      <c r="Y203" s="116"/>
      <c r="Z203" s="116"/>
      <c r="AA203" s="116"/>
      <c r="AB203" s="116"/>
      <c r="AC203" s="116"/>
      <c r="AD203" s="116"/>
      <c r="AE203" s="116"/>
      <c r="AF203" s="116"/>
      <c r="AG203" s="116"/>
      <c r="AH203" s="1"/>
      <c r="AI203" s="46"/>
      <c r="AJ203" s="46"/>
      <c r="AK203" s="46"/>
      <c r="AL203" s="46"/>
      <c r="AM203" s="46"/>
      <c r="AN203" s="46"/>
      <c r="AO203" s="46"/>
      <c r="AP203" s="46"/>
      <c r="AQ203" s="1"/>
      <c r="AR203" s="15"/>
      <c r="AS203" s="15"/>
      <c r="AT203" s="15"/>
      <c r="AU203" s="15"/>
      <c r="AV203" s="15"/>
      <c r="AW203" s="15"/>
      <c r="AX203" s="15"/>
      <c r="AY203" s="15"/>
      <c r="AZ203" s="15"/>
      <c r="BA203" s="15"/>
      <c r="BB203" s="15"/>
      <c r="BC203" s="15"/>
      <c r="BD203" s="102"/>
      <c r="BE203" s="15"/>
      <c r="BF203" s="15"/>
      <c r="BG203" s="15"/>
      <c r="BH203" s="15"/>
      <c r="BI203" s="15"/>
      <c r="BJ203" s="15"/>
      <c r="BK203" s="15"/>
      <c r="BL203" s="15"/>
      <c r="BM203" s="15"/>
      <c r="BN203" s="15"/>
      <c r="BO203" s="15"/>
      <c r="BP203" s="15"/>
      <c r="BQ203" s="242"/>
      <c r="BR203" s="15"/>
      <c r="BS203" s="15"/>
      <c r="BT203" s="15"/>
      <c r="BU203" s="15"/>
      <c r="BV203" s="15"/>
      <c r="BW203" s="15"/>
      <c r="BX203" s="15"/>
      <c r="BY203" s="15"/>
      <c r="BZ203" s="15"/>
      <c r="CA203" s="15"/>
      <c r="CB203" s="15"/>
      <c r="CC203" s="15"/>
      <c r="CD203" s="15"/>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f t="shared" si="58"/>
        <v>0</v>
      </c>
      <c r="DE203" s="1"/>
      <c r="DF203" s="1"/>
      <c r="DG203" s="1"/>
      <c r="DH203" s="1"/>
      <c r="DI203" s="1"/>
      <c r="DJ203" s="1"/>
      <c r="DK203" s="1"/>
      <c r="DL203" s="1"/>
      <c r="DM203" s="1"/>
      <c r="DN203" s="1"/>
      <c r="DO203" s="1"/>
      <c r="DP203" s="1"/>
      <c r="DQ203" s="1"/>
    </row>
    <row r="204" spans="1:121" x14ac:dyDescent="0.2">
      <c r="A204" s="855"/>
      <c r="B204" s="775"/>
      <c r="C204" s="833"/>
      <c r="D204" s="1" t="s">
        <v>1658</v>
      </c>
      <c r="E204" s="1"/>
      <c r="F204" s="1"/>
      <c r="G204" s="775"/>
      <c r="H204" s="1"/>
      <c r="I204" s="1"/>
      <c r="J204" s="1"/>
      <c r="K204" s="1"/>
      <c r="L204" s="116"/>
      <c r="M204" s="116"/>
      <c r="N204" s="116"/>
      <c r="O204" s="116"/>
      <c r="P204" s="375"/>
      <c r="Q204" s="116"/>
      <c r="R204" s="116"/>
      <c r="S204" s="116"/>
      <c r="T204" s="116"/>
      <c r="U204" s="116"/>
      <c r="V204" s="116"/>
      <c r="W204" s="116"/>
      <c r="X204" s="116"/>
      <c r="Y204" s="116"/>
      <c r="Z204" s="116"/>
      <c r="AA204" s="116"/>
      <c r="AB204" s="116"/>
      <c r="AC204" s="116"/>
      <c r="AD204" s="116"/>
      <c r="AE204" s="116"/>
      <c r="AF204" s="116"/>
      <c r="AG204" s="116"/>
      <c r="AH204" s="1"/>
      <c r="AI204" s="46"/>
      <c r="AJ204" s="46"/>
      <c r="AK204" s="46"/>
      <c r="AL204" s="46"/>
      <c r="AM204" s="46"/>
      <c r="AN204" s="46"/>
      <c r="AO204" s="46"/>
      <c r="AP204" s="46"/>
      <c r="AQ204" s="1"/>
      <c r="AR204" s="15"/>
      <c r="AS204" s="15"/>
      <c r="AT204" s="15"/>
      <c r="AU204" s="15"/>
      <c r="AV204" s="15"/>
      <c r="AW204" s="15"/>
      <c r="AX204" s="15"/>
      <c r="AY204" s="15"/>
      <c r="AZ204" s="15"/>
      <c r="BA204" s="15"/>
      <c r="BB204" s="15"/>
      <c r="BC204" s="15"/>
      <c r="BD204" s="102"/>
      <c r="BE204" s="15"/>
      <c r="BF204" s="15"/>
      <c r="BG204" s="15"/>
      <c r="BH204" s="15"/>
      <c r="BI204" s="15"/>
      <c r="BJ204" s="15"/>
      <c r="BK204" s="15"/>
      <c r="BL204" s="15"/>
      <c r="BM204" s="15"/>
      <c r="BN204" s="15"/>
      <c r="BO204" s="15"/>
      <c r="BP204" s="15"/>
      <c r="BQ204" s="242"/>
      <c r="BR204" s="15"/>
      <c r="BS204" s="15"/>
      <c r="BT204" s="15"/>
      <c r="BU204" s="15"/>
      <c r="BV204" s="15"/>
      <c r="BW204" s="15"/>
      <c r="BX204" s="15"/>
      <c r="BY204" s="15"/>
      <c r="BZ204" s="15"/>
      <c r="CA204" s="15"/>
      <c r="CB204" s="15"/>
      <c r="CC204" s="15"/>
      <c r="CD204" s="15"/>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f t="shared" si="58"/>
        <v>0</v>
      </c>
      <c r="DE204" s="1"/>
      <c r="DF204" s="1"/>
      <c r="DG204" s="1"/>
      <c r="DH204" s="1"/>
      <c r="DI204" s="1"/>
      <c r="DJ204" s="1"/>
      <c r="DK204" s="1"/>
      <c r="DL204" s="1"/>
      <c r="DM204" s="1"/>
      <c r="DN204" s="1"/>
      <c r="DO204" s="1"/>
      <c r="DP204" s="1"/>
      <c r="DQ204" s="1"/>
    </row>
    <row r="205" spans="1:121" x14ac:dyDescent="0.2">
      <c r="A205" s="855"/>
      <c r="B205" s="775"/>
      <c r="C205" s="833"/>
      <c r="D205" s="1" t="s">
        <v>1659</v>
      </c>
      <c r="E205" s="1"/>
      <c r="F205" s="1"/>
      <c r="G205" s="775"/>
      <c r="H205" s="1"/>
      <c r="I205" s="1"/>
      <c r="J205" s="1"/>
      <c r="K205" s="1"/>
      <c r="L205" s="116"/>
      <c r="M205" s="116"/>
      <c r="N205" s="116"/>
      <c r="O205" s="116"/>
      <c r="P205" s="375"/>
      <c r="Q205" s="116"/>
      <c r="R205" s="116"/>
      <c r="S205" s="116"/>
      <c r="T205" s="116"/>
      <c r="U205" s="116"/>
      <c r="V205" s="116"/>
      <c r="W205" s="116"/>
      <c r="X205" s="116"/>
      <c r="Y205" s="116"/>
      <c r="Z205" s="116"/>
      <c r="AA205" s="116"/>
      <c r="AB205" s="116"/>
      <c r="AC205" s="116"/>
      <c r="AD205" s="116"/>
      <c r="AE205" s="116"/>
      <c r="AF205" s="116"/>
      <c r="AG205" s="116"/>
      <c r="AH205" s="1"/>
      <c r="AI205" s="46"/>
      <c r="AJ205" s="46"/>
      <c r="AK205" s="46"/>
      <c r="AL205" s="46"/>
      <c r="AM205" s="46"/>
      <c r="AN205" s="46"/>
      <c r="AO205" s="46"/>
      <c r="AP205" s="46"/>
      <c r="AQ205" s="1"/>
      <c r="AR205" s="15"/>
      <c r="AS205" s="15"/>
      <c r="AT205" s="15"/>
      <c r="AU205" s="15"/>
      <c r="AV205" s="15"/>
      <c r="AW205" s="15"/>
      <c r="AX205" s="15"/>
      <c r="AY205" s="15"/>
      <c r="AZ205" s="15"/>
      <c r="BA205" s="15"/>
      <c r="BB205" s="15"/>
      <c r="BC205" s="15"/>
      <c r="BD205" s="102"/>
      <c r="BE205" s="15"/>
      <c r="BF205" s="15"/>
      <c r="BG205" s="15"/>
      <c r="BH205" s="15"/>
      <c r="BI205" s="15"/>
      <c r="BJ205" s="15"/>
      <c r="BK205" s="15"/>
      <c r="BL205" s="15"/>
      <c r="BM205" s="15"/>
      <c r="BN205" s="15"/>
      <c r="BO205" s="15"/>
      <c r="BP205" s="15"/>
      <c r="BQ205" s="242"/>
      <c r="BR205" s="15"/>
      <c r="BS205" s="15"/>
      <c r="BT205" s="15"/>
      <c r="BU205" s="15"/>
      <c r="BV205" s="15"/>
      <c r="BW205" s="15"/>
      <c r="BX205" s="15"/>
      <c r="BY205" s="15"/>
      <c r="BZ205" s="15"/>
      <c r="CA205" s="15"/>
      <c r="CB205" s="15"/>
      <c r="CC205" s="15"/>
      <c r="CD205" s="15"/>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f t="shared" si="58"/>
        <v>0</v>
      </c>
      <c r="DE205" s="1"/>
      <c r="DF205" s="1"/>
      <c r="DG205" s="1"/>
      <c r="DH205" s="1"/>
      <c r="DI205" s="1"/>
      <c r="DJ205" s="1"/>
      <c r="DK205" s="1"/>
      <c r="DL205" s="1"/>
      <c r="DM205" s="1"/>
      <c r="DN205" s="1"/>
      <c r="DO205" s="1"/>
      <c r="DP205" s="1"/>
      <c r="DQ205" s="1"/>
    </row>
    <row r="206" spans="1:121" x14ac:dyDescent="0.2">
      <c r="A206" s="855"/>
      <c r="B206" s="775"/>
      <c r="C206" s="833"/>
      <c r="D206" s="1" t="s">
        <v>1660</v>
      </c>
      <c r="E206" s="1"/>
      <c r="F206" s="1"/>
      <c r="G206" s="775"/>
      <c r="H206" s="1"/>
      <c r="I206" s="1"/>
      <c r="J206" s="1"/>
      <c r="K206" s="1"/>
      <c r="L206" s="116"/>
      <c r="M206" s="116"/>
      <c r="N206" s="116"/>
      <c r="O206" s="116"/>
      <c r="P206" s="375"/>
      <c r="Q206" s="116"/>
      <c r="R206" s="116"/>
      <c r="S206" s="116"/>
      <c r="T206" s="116"/>
      <c r="U206" s="116"/>
      <c r="V206" s="116"/>
      <c r="W206" s="116"/>
      <c r="X206" s="116"/>
      <c r="Y206" s="116"/>
      <c r="Z206" s="116"/>
      <c r="AA206" s="116"/>
      <c r="AB206" s="116"/>
      <c r="AC206" s="116"/>
      <c r="AD206" s="116"/>
      <c r="AE206" s="116"/>
      <c r="AF206" s="116"/>
      <c r="AG206" s="116"/>
      <c r="AH206" s="1"/>
      <c r="AI206" s="46"/>
      <c r="AJ206" s="46"/>
      <c r="AK206" s="46"/>
      <c r="AL206" s="46"/>
      <c r="AM206" s="46"/>
      <c r="AN206" s="46"/>
      <c r="AO206" s="46"/>
      <c r="AP206" s="46"/>
      <c r="AQ206" s="1"/>
      <c r="AR206" s="15"/>
      <c r="AS206" s="15"/>
      <c r="AT206" s="15"/>
      <c r="AU206" s="15"/>
      <c r="AV206" s="15"/>
      <c r="AW206" s="15"/>
      <c r="AX206" s="15"/>
      <c r="AY206" s="15"/>
      <c r="AZ206" s="15"/>
      <c r="BA206" s="15"/>
      <c r="BB206" s="15"/>
      <c r="BC206" s="15"/>
      <c r="BD206" s="102"/>
      <c r="BE206" s="15"/>
      <c r="BF206" s="15"/>
      <c r="BG206" s="15"/>
      <c r="BH206" s="15"/>
      <c r="BI206" s="15"/>
      <c r="BJ206" s="15"/>
      <c r="BK206" s="15"/>
      <c r="BL206" s="15"/>
      <c r="BM206" s="15"/>
      <c r="BN206" s="15"/>
      <c r="BO206" s="15"/>
      <c r="BP206" s="15"/>
      <c r="BQ206" s="242"/>
      <c r="BR206" s="15"/>
      <c r="BS206" s="15"/>
      <c r="BT206" s="15"/>
      <c r="BU206" s="15"/>
      <c r="BV206" s="15"/>
      <c r="BW206" s="15"/>
      <c r="BX206" s="15"/>
      <c r="BY206" s="15"/>
      <c r="BZ206" s="15"/>
      <c r="CA206" s="15"/>
      <c r="CB206" s="15"/>
      <c r="CC206" s="15"/>
      <c r="CD206" s="15"/>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f t="shared" si="58"/>
        <v>0</v>
      </c>
      <c r="DE206" s="1"/>
      <c r="DF206" s="1"/>
      <c r="DG206" s="1"/>
      <c r="DH206" s="1"/>
      <c r="DI206" s="1"/>
      <c r="DJ206" s="1"/>
      <c r="DK206" s="1"/>
      <c r="DL206" s="1"/>
      <c r="DM206" s="1"/>
      <c r="DN206" s="1"/>
      <c r="DO206" s="1"/>
      <c r="DP206" s="1"/>
      <c r="DQ206" s="1"/>
    </row>
    <row r="207" spans="1:121" x14ac:dyDescent="0.2">
      <c r="A207" s="855"/>
      <c r="B207" s="775"/>
      <c r="C207" s="833"/>
      <c r="D207" s="1" t="s">
        <v>1661</v>
      </c>
      <c r="E207" s="1"/>
      <c r="F207" s="1"/>
      <c r="G207" s="775"/>
      <c r="H207" s="1"/>
      <c r="I207" s="1"/>
      <c r="J207" s="1"/>
      <c r="K207" s="1"/>
      <c r="L207" s="116"/>
      <c r="M207" s="116"/>
      <c r="N207" s="116"/>
      <c r="O207" s="116"/>
      <c r="P207" s="375"/>
      <c r="Q207" s="116"/>
      <c r="R207" s="116"/>
      <c r="S207" s="116"/>
      <c r="T207" s="116"/>
      <c r="U207" s="116"/>
      <c r="V207" s="116"/>
      <c r="W207" s="116"/>
      <c r="X207" s="116"/>
      <c r="Y207" s="116"/>
      <c r="Z207" s="116"/>
      <c r="AA207" s="116"/>
      <c r="AB207" s="116"/>
      <c r="AC207" s="116"/>
      <c r="AD207" s="116"/>
      <c r="AE207" s="116"/>
      <c r="AF207" s="116"/>
      <c r="AG207" s="116"/>
      <c r="AH207" s="1"/>
      <c r="AI207" s="46"/>
      <c r="AJ207" s="46"/>
      <c r="AK207" s="46"/>
      <c r="AL207" s="46"/>
      <c r="AM207" s="46"/>
      <c r="AN207" s="46"/>
      <c r="AO207" s="46"/>
      <c r="AP207" s="46"/>
      <c r="AQ207" s="1"/>
      <c r="AR207" s="15"/>
      <c r="AS207" s="15"/>
      <c r="AT207" s="15"/>
      <c r="AU207" s="15"/>
      <c r="AV207" s="15"/>
      <c r="AW207" s="15"/>
      <c r="AX207" s="15"/>
      <c r="AY207" s="15"/>
      <c r="AZ207" s="15"/>
      <c r="BA207" s="15"/>
      <c r="BB207" s="15"/>
      <c r="BC207" s="15"/>
      <c r="BD207" s="102"/>
      <c r="BE207" s="15"/>
      <c r="BF207" s="15"/>
      <c r="BG207" s="15"/>
      <c r="BH207" s="15"/>
      <c r="BI207" s="15"/>
      <c r="BJ207" s="15"/>
      <c r="BK207" s="15"/>
      <c r="BL207" s="15"/>
      <c r="BM207" s="15"/>
      <c r="BN207" s="15"/>
      <c r="BO207" s="15"/>
      <c r="BP207" s="15"/>
      <c r="BQ207" s="242"/>
      <c r="BR207" s="15"/>
      <c r="BS207" s="15"/>
      <c r="BT207" s="15"/>
      <c r="BU207" s="15"/>
      <c r="BV207" s="15"/>
      <c r="BW207" s="15"/>
      <c r="BX207" s="15"/>
      <c r="BY207" s="15"/>
      <c r="BZ207" s="15"/>
      <c r="CA207" s="15"/>
      <c r="CB207" s="15"/>
      <c r="CC207" s="15"/>
      <c r="CD207" s="15"/>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f t="shared" si="58"/>
        <v>0</v>
      </c>
      <c r="DE207" s="1"/>
      <c r="DF207" s="1"/>
      <c r="DG207" s="1"/>
      <c r="DH207" s="1"/>
      <c r="DI207" s="1"/>
      <c r="DJ207" s="1"/>
      <c r="DK207" s="1"/>
      <c r="DL207" s="1"/>
      <c r="DM207" s="1"/>
      <c r="DN207" s="1"/>
      <c r="DO207" s="1"/>
      <c r="DP207" s="1"/>
      <c r="DQ207" s="1"/>
    </row>
    <row r="208" spans="1:121" x14ac:dyDescent="0.2">
      <c r="A208" s="855"/>
      <c r="B208" s="775"/>
      <c r="C208" s="833"/>
      <c r="D208" s="1" t="s">
        <v>1662</v>
      </c>
      <c r="E208" s="1"/>
      <c r="F208" s="1"/>
      <c r="G208" s="775"/>
      <c r="H208" s="1"/>
      <c r="I208" s="1"/>
      <c r="J208" s="1"/>
      <c r="K208" s="1"/>
      <c r="L208" s="116"/>
      <c r="M208" s="116"/>
      <c r="N208" s="116"/>
      <c r="O208" s="116"/>
      <c r="P208" s="375"/>
      <c r="Q208" s="116"/>
      <c r="R208" s="116"/>
      <c r="S208" s="116"/>
      <c r="T208" s="116"/>
      <c r="U208" s="116"/>
      <c r="V208" s="116"/>
      <c r="W208" s="116"/>
      <c r="X208" s="116"/>
      <c r="Y208" s="116"/>
      <c r="Z208" s="116"/>
      <c r="AA208" s="116"/>
      <c r="AB208" s="116"/>
      <c r="AC208" s="116"/>
      <c r="AD208" s="116"/>
      <c r="AE208" s="116"/>
      <c r="AF208" s="116"/>
      <c r="AG208" s="116"/>
      <c r="AH208" s="1"/>
      <c r="AI208" s="46"/>
      <c r="AJ208" s="46"/>
      <c r="AK208" s="46"/>
      <c r="AL208" s="46"/>
      <c r="AM208" s="46"/>
      <c r="AN208" s="46"/>
      <c r="AO208" s="46"/>
      <c r="AP208" s="46"/>
      <c r="AQ208" s="1"/>
      <c r="AR208" s="15"/>
      <c r="AS208" s="15"/>
      <c r="AT208" s="15"/>
      <c r="AU208" s="15"/>
      <c r="AV208" s="15"/>
      <c r="AW208" s="15"/>
      <c r="AX208" s="15"/>
      <c r="AY208" s="15"/>
      <c r="AZ208" s="15"/>
      <c r="BA208" s="15"/>
      <c r="BB208" s="15"/>
      <c r="BC208" s="15"/>
      <c r="BD208" s="102"/>
      <c r="BE208" s="15"/>
      <c r="BF208" s="15"/>
      <c r="BG208" s="15"/>
      <c r="BH208" s="15"/>
      <c r="BI208" s="15"/>
      <c r="BJ208" s="15"/>
      <c r="BK208" s="15"/>
      <c r="BL208" s="15"/>
      <c r="BM208" s="15"/>
      <c r="BN208" s="15"/>
      <c r="BO208" s="15"/>
      <c r="BP208" s="15"/>
      <c r="BQ208" s="242"/>
      <c r="BR208" s="15"/>
      <c r="BS208" s="15"/>
      <c r="BT208" s="15"/>
      <c r="BU208" s="15"/>
      <c r="BV208" s="15"/>
      <c r="BW208" s="15"/>
      <c r="BX208" s="15"/>
      <c r="BY208" s="15"/>
      <c r="BZ208" s="15"/>
      <c r="CA208" s="15"/>
      <c r="CB208" s="15"/>
      <c r="CC208" s="15"/>
      <c r="CD208" s="15"/>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f t="shared" si="58"/>
        <v>0</v>
      </c>
      <c r="DE208" s="1"/>
      <c r="DF208" s="1"/>
      <c r="DG208" s="1"/>
      <c r="DH208" s="1"/>
      <c r="DI208" s="1"/>
      <c r="DJ208" s="1"/>
      <c r="DK208" s="1"/>
      <c r="DL208" s="1"/>
      <c r="DM208" s="1"/>
      <c r="DN208" s="1"/>
      <c r="DO208" s="1"/>
      <c r="DP208" s="1"/>
      <c r="DQ208" s="1"/>
    </row>
    <row r="209" spans="1:121" x14ac:dyDescent="0.2">
      <c r="A209" s="855"/>
      <c r="B209" s="775"/>
      <c r="C209" s="833"/>
      <c r="D209" s="1" t="s">
        <v>1663</v>
      </c>
      <c r="E209" s="1"/>
      <c r="F209" s="1"/>
      <c r="G209" s="775"/>
      <c r="H209" s="1"/>
      <c r="I209" s="1"/>
      <c r="J209" s="1"/>
      <c r="K209" s="1"/>
      <c r="L209" s="116"/>
      <c r="M209" s="116"/>
      <c r="N209" s="116"/>
      <c r="O209" s="116"/>
      <c r="P209" s="375"/>
      <c r="Q209" s="116"/>
      <c r="R209" s="116"/>
      <c r="S209" s="116"/>
      <c r="T209" s="116"/>
      <c r="U209" s="116"/>
      <c r="V209" s="116"/>
      <c r="W209" s="116"/>
      <c r="X209" s="116"/>
      <c r="Y209" s="116"/>
      <c r="Z209" s="116"/>
      <c r="AA209" s="116"/>
      <c r="AB209" s="116"/>
      <c r="AC209" s="116"/>
      <c r="AD209" s="116"/>
      <c r="AE209" s="116"/>
      <c r="AF209" s="116"/>
      <c r="AG209" s="116"/>
      <c r="AH209" s="1"/>
      <c r="AI209" s="46"/>
      <c r="AJ209" s="46"/>
      <c r="AK209" s="46"/>
      <c r="AL209" s="46"/>
      <c r="AM209" s="46"/>
      <c r="AN209" s="46"/>
      <c r="AO209" s="46"/>
      <c r="AP209" s="46"/>
      <c r="AQ209" s="1"/>
      <c r="AR209" s="15"/>
      <c r="AS209" s="15"/>
      <c r="AT209" s="15"/>
      <c r="AU209" s="15"/>
      <c r="AV209" s="15"/>
      <c r="AW209" s="15"/>
      <c r="AX209" s="15"/>
      <c r="AY209" s="15"/>
      <c r="AZ209" s="15"/>
      <c r="BA209" s="15"/>
      <c r="BB209" s="15"/>
      <c r="BC209" s="15"/>
      <c r="BD209" s="102"/>
      <c r="BE209" s="15"/>
      <c r="BF209" s="15"/>
      <c r="BG209" s="15"/>
      <c r="BH209" s="15"/>
      <c r="BI209" s="15"/>
      <c r="BJ209" s="15"/>
      <c r="BK209" s="15"/>
      <c r="BL209" s="15"/>
      <c r="BM209" s="15"/>
      <c r="BN209" s="15"/>
      <c r="BO209" s="15"/>
      <c r="BP209" s="15"/>
      <c r="BQ209" s="242"/>
      <c r="BR209" s="15"/>
      <c r="BS209" s="15"/>
      <c r="BT209" s="15"/>
      <c r="BU209" s="15"/>
      <c r="BV209" s="15"/>
      <c r="BW209" s="15"/>
      <c r="BX209" s="15"/>
      <c r="BY209" s="15"/>
      <c r="BZ209" s="15"/>
      <c r="CA209" s="15"/>
      <c r="CB209" s="15"/>
      <c r="CC209" s="15"/>
      <c r="CD209" s="15"/>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f t="shared" si="58"/>
        <v>0</v>
      </c>
      <c r="DE209" s="1"/>
      <c r="DF209" s="1"/>
      <c r="DG209" s="1"/>
      <c r="DH209" s="1"/>
      <c r="DI209" s="1"/>
      <c r="DJ209" s="1"/>
      <c r="DK209" s="1"/>
      <c r="DL209" s="1"/>
      <c r="DM209" s="1"/>
      <c r="DN209" s="1"/>
      <c r="DO209" s="1"/>
      <c r="DP209" s="1"/>
      <c r="DQ209" s="1"/>
    </row>
    <row r="210" spans="1:121" x14ac:dyDescent="0.2">
      <c r="A210" s="855"/>
      <c r="B210" s="775"/>
      <c r="C210" s="833"/>
      <c r="D210" s="1" t="s">
        <v>1664</v>
      </c>
      <c r="E210" s="1"/>
      <c r="F210" s="1"/>
      <c r="G210" s="775"/>
      <c r="H210" s="1"/>
      <c r="I210" s="1"/>
      <c r="J210" s="1"/>
      <c r="K210" s="1"/>
      <c r="L210" s="116"/>
      <c r="M210" s="116"/>
      <c r="N210" s="116"/>
      <c r="O210" s="116"/>
      <c r="P210" s="375"/>
      <c r="Q210" s="116"/>
      <c r="R210" s="116"/>
      <c r="S210" s="116"/>
      <c r="T210" s="116"/>
      <c r="U210" s="116"/>
      <c r="V210" s="116"/>
      <c r="W210" s="116"/>
      <c r="X210" s="116"/>
      <c r="Y210" s="116"/>
      <c r="Z210" s="116"/>
      <c r="AA210" s="116"/>
      <c r="AB210" s="116"/>
      <c r="AC210" s="116"/>
      <c r="AD210" s="116"/>
      <c r="AE210" s="116"/>
      <c r="AF210" s="116"/>
      <c r="AG210" s="116"/>
      <c r="AH210" s="1"/>
      <c r="AI210" s="46"/>
      <c r="AJ210" s="46"/>
      <c r="AK210" s="46"/>
      <c r="AL210" s="46"/>
      <c r="AM210" s="46"/>
      <c r="AN210" s="46"/>
      <c r="AO210" s="46"/>
      <c r="AP210" s="46"/>
      <c r="AQ210" s="1"/>
      <c r="AR210" s="15"/>
      <c r="AS210" s="15"/>
      <c r="AT210" s="15"/>
      <c r="AU210" s="15"/>
      <c r="AV210" s="15"/>
      <c r="AW210" s="15"/>
      <c r="AX210" s="15"/>
      <c r="AY210" s="15"/>
      <c r="AZ210" s="15"/>
      <c r="BA210" s="15"/>
      <c r="BB210" s="15"/>
      <c r="BC210" s="15"/>
      <c r="BD210" s="102"/>
      <c r="BE210" s="15"/>
      <c r="BF210" s="15"/>
      <c r="BG210" s="15"/>
      <c r="BH210" s="15"/>
      <c r="BI210" s="15"/>
      <c r="BJ210" s="15"/>
      <c r="BK210" s="15"/>
      <c r="BL210" s="15"/>
      <c r="BM210" s="15"/>
      <c r="BN210" s="15"/>
      <c r="BO210" s="15"/>
      <c r="BP210" s="15"/>
      <c r="BQ210" s="242"/>
      <c r="BR210" s="15"/>
      <c r="BS210" s="15"/>
      <c r="BT210" s="15"/>
      <c r="BU210" s="15"/>
      <c r="BV210" s="15"/>
      <c r="BW210" s="15"/>
      <c r="BX210" s="15"/>
      <c r="BY210" s="15"/>
      <c r="BZ210" s="15"/>
      <c r="CA210" s="15"/>
      <c r="CB210" s="15"/>
      <c r="CC210" s="15"/>
      <c r="CD210" s="15"/>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f t="shared" si="58"/>
        <v>0</v>
      </c>
      <c r="DE210" s="1"/>
      <c r="DF210" s="1"/>
      <c r="DG210" s="1"/>
      <c r="DH210" s="1"/>
      <c r="DI210" s="1"/>
      <c r="DJ210" s="1"/>
      <c r="DK210" s="1"/>
      <c r="DL210" s="1"/>
      <c r="DM210" s="1"/>
      <c r="DN210" s="1"/>
      <c r="DO210" s="1"/>
      <c r="DP210" s="1"/>
      <c r="DQ210" s="1"/>
    </row>
    <row r="211" spans="1:121" x14ac:dyDescent="0.2">
      <c r="A211" s="855"/>
      <c r="B211" s="775"/>
      <c r="C211" s="833"/>
      <c r="D211" s="1" t="s">
        <v>1665</v>
      </c>
      <c r="E211" s="1"/>
      <c r="F211" s="1"/>
      <c r="G211" s="775"/>
      <c r="H211" s="1"/>
      <c r="I211" s="1"/>
      <c r="J211" s="1"/>
      <c r="K211" s="1"/>
      <c r="L211" s="116"/>
      <c r="M211" s="116"/>
      <c r="N211" s="116"/>
      <c r="O211" s="116"/>
      <c r="P211" s="375"/>
      <c r="Q211" s="116"/>
      <c r="R211" s="116"/>
      <c r="S211" s="116"/>
      <c r="T211" s="116"/>
      <c r="U211" s="116"/>
      <c r="V211" s="116"/>
      <c r="W211" s="116"/>
      <c r="X211" s="116"/>
      <c r="Y211" s="116"/>
      <c r="Z211" s="116"/>
      <c r="AA211" s="116"/>
      <c r="AB211" s="116"/>
      <c r="AC211" s="116"/>
      <c r="AD211" s="116"/>
      <c r="AE211" s="116"/>
      <c r="AF211" s="116"/>
      <c r="AG211" s="116"/>
      <c r="AH211" s="1"/>
      <c r="AI211" s="46"/>
      <c r="AJ211" s="46"/>
      <c r="AK211" s="46"/>
      <c r="AL211" s="46"/>
      <c r="AM211" s="46"/>
      <c r="AN211" s="46"/>
      <c r="AO211" s="46"/>
      <c r="AP211" s="46"/>
      <c r="AQ211" s="1"/>
      <c r="AR211" s="15"/>
      <c r="AS211" s="15"/>
      <c r="AT211" s="15"/>
      <c r="AU211" s="15"/>
      <c r="AV211" s="15"/>
      <c r="AW211" s="15"/>
      <c r="AX211" s="15"/>
      <c r="AY211" s="15"/>
      <c r="AZ211" s="15"/>
      <c r="BA211" s="15"/>
      <c r="BB211" s="15"/>
      <c r="BC211" s="15"/>
      <c r="BD211" s="102"/>
      <c r="BE211" s="15"/>
      <c r="BF211" s="15"/>
      <c r="BG211" s="15"/>
      <c r="BH211" s="15"/>
      <c r="BI211" s="15"/>
      <c r="BJ211" s="15"/>
      <c r="BK211" s="15"/>
      <c r="BL211" s="15"/>
      <c r="BM211" s="15"/>
      <c r="BN211" s="15"/>
      <c r="BO211" s="15"/>
      <c r="BP211" s="15"/>
      <c r="BQ211" s="242"/>
      <c r="BR211" s="15"/>
      <c r="BS211" s="15"/>
      <c r="BT211" s="15"/>
      <c r="BU211" s="15"/>
      <c r="BV211" s="15"/>
      <c r="BW211" s="15"/>
      <c r="BX211" s="15"/>
      <c r="BY211" s="15"/>
      <c r="BZ211" s="15"/>
      <c r="CA211" s="15"/>
      <c r="CB211" s="15"/>
      <c r="CC211" s="15"/>
      <c r="CD211" s="15"/>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f t="shared" si="58"/>
        <v>0</v>
      </c>
      <c r="DE211" s="1"/>
      <c r="DF211" s="1"/>
      <c r="DG211" s="1"/>
      <c r="DH211" s="1"/>
      <c r="DI211" s="1"/>
      <c r="DJ211" s="1"/>
      <c r="DK211" s="1"/>
      <c r="DL211" s="1"/>
      <c r="DM211" s="1"/>
      <c r="DN211" s="1"/>
      <c r="DO211" s="1"/>
      <c r="DP211" s="1"/>
      <c r="DQ211" s="1"/>
    </row>
    <row r="212" spans="1:121" x14ac:dyDescent="0.2">
      <c r="A212" s="855"/>
      <c r="B212" s="775"/>
      <c r="C212" s="833"/>
      <c r="D212" s="1" t="s">
        <v>1666</v>
      </c>
      <c r="E212" s="1"/>
      <c r="F212" s="1"/>
      <c r="G212" s="775"/>
      <c r="H212" s="1"/>
      <c r="I212" s="1"/>
      <c r="J212" s="1"/>
      <c r="K212" s="1"/>
      <c r="L212" s="116"/>
      <c r="M212" s="116"/>
      <c r="N212" s="116"/>
      <c r="O212" s="116"/>
      <c r="P212" s="375"/>
      <c r="Q212" s="116"/>
      <c r="R212" s="116"/>
      <c r="S212" s="116"/>
      <c r="T212" s="116"/>
      <c r="U212" s="116"/>
      <c r="V212" s="116"/>
      <c r="W212" s="116"/>
      <c r="X212" s="116"/>
      <c r="Y212" s="116"/>
      <c r="Z212" s="116"/>
      <c r="AA212" s="116"/>
      <c r="AB212" s="116"/>
      <c r="AC212" s="116"/>
      <c r="AD212" s="116"/>
      <c r="AE212" s="116"/>
      <c r="AF212" s="116"/>
      <c r="AG212" s="116"/>
      <c r="AH212" s="1"/>
      <c r="AI212" s="46"/>
      <c r="AJ212" s="46"/>
      <c r="AK212" s="46"/>
      <c r="AL212" s="46"/>
      <c r="AM212" s="46"/>
      <c r="AN212" s="46"/>
      <c r="AO212" s="46"/>
      <c r="AP212" s="46"/>
      <c r="AQ212" s="1"/>
      <c r="AR212" s="15"/>
      <c r="AS212" s="15"/>
      <c r="AT212" s="15"/>
      <c r="AU212" s="15"/>
      <c r="AV212" s="15"/>
      <c r="AW212" s="15"/>
      <c r="AX212" s="15"/>
      <c r="AY212" s="15"/>
      <c r="AZ212" s="15"/>
      <c r="BA212" s="15"/>
      <c r="BB212" s="15"/>
      <c r="BC212" s="15"/>
      <c r="BD212" s="102"/>
      <c r="BE212" s="15"/>
      <c r="BF212" s="15"/>
      <c r="BG212" s="15"/>
      <c r="BH212" s="15"/>
      <c r="BI212" s="15"/>
      <c r="BJ212" s="15"/>
      <c r="BK212" s="15"/>
      <c r="BL212" s="15"/>
      <c r="BM212" s="15"/>
      <c r="BN212" s="15"/>
      <c r="BO212" s="15"/>
      <c r="BP212" s="15"/>
      <c r="BQ212" s="242"/>
      <c r="BR212" s="15"/>
      <c r="BS212" s="15"/>
      <c r="BT212" s="15"/>
      <c r="BU212" s="15"/>
      <c r="BV212" s="15"/>
      <c r="BW212" s="15"/>
      <c r="BX212" s="15"/>
      <c r="BY212" s="15"/>
      <c r="BZ212" s="15"/>
      <c r="CA212" s="15"/>
      <c r="CB212" s="15"/>
      <c r="CC212" s="15"/>
      <c r="CD212" s="15"/>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f t="shared" si="58"/>
        <v>0</v>
      </c>
      <c r="DE212" s="1"/>
      <c r="DF212" s="1"/>
      <c r="DG212" s="1"/>
      <c r="DH212" s="1"/>
      <c r="DI212" s="1"/>
      <c r="DJ212" s="1"/>
      <c r="DK212" s="1"/>
      <c r="DL212" s="1"/>
      <c r="DM212" s="1"/>
      <c r="DN212" s="1"/>
      <c r="DO212" s="1"/>
      <c r="DP212" s="1"/>
      <c r="DQ212" s="1"/>
    </row>
    <row r="213" spans="1:121" x14ac:dyDescent="0.2">
      <c r="A213" s="855"/>
      <c r="B213" s="775"/>
      <c r="C213" s="833"/>
      <c r="D213" s="1" t="s">
        <v>1667</v>
      </c>
      <c r="E213" s="1"/>
      <c r="F213" s="1"/>
      <c r="G213" s="775"/>
      <c r="H213" s="1"/>
      <c r="I213" s="1"/>
      <c r="J213" s="1"/>
      <c r="K213" s="1"/>
      <c r="L213" s="116"/>
      <c r="M213" s="116"/>
      <c r="N213" s="116"/>
      <c r="O213" s="116"/>
      <c r="P213" s="375"/>
      <c r="Q213" s="116"/>
      <c r="R213" s="116"/>
      <c r="S213" s="116"/>
      <c r="T213" s="116"/>
      <c r="U213" s="116"/>
      <c r="V213" s="116"/>
      <c r="W213" s="116"/>
      <c r="X213" s="116"/>
      <c r="Y213" s="116"/>
      <c r="Z213" s="116"/>
      <c r="AA213" s="116"/>
      <c r="AB213" s="116"/>
      <c r="AC213" s="116"/>
      <c r="AD213" s="116"/>
      <c r="AE213" s="116"/>
      <c r="AF213" s="116"/>
      <c r="AG213" s="116"/>
      <c r="AH213" s="1"/>
      <c r="AI213" s="46"/>
      <c r="AJ213" s="46"/>
      <c r="AK213" s="46"/>
      <c r="AL213" s="46"/>
      <c r="AM213" s="46"/>
      <c r="AN213" s="46"/>
      <c r="AO213" s="46"/>
      <c r="AP213" s="46"/>
      <c r="AQ213" s="1"/>
      <c r="AR213" s="15"/>
      <c r="AS213" s="15"/>
      <c r="AT213" s="15"/>
      <c r="AU213" s="15"/>
      <c r="AV213" s="15"/>
      <c r="AW213" s="15"/>
      <c r="AX213" s="15"/>
      <c r="AY213" s="15"/>
      <c r="AZ213" s="15"/>
      <c r="BA213" s="15"/>
      <c r="BB213" s="15"/>
      <c r="BC213" s="15"/>
      <c r="BD213" s="102"/>
      <c r="BE213" s="15"/>
      <c r="BF213" s="15"/>
      <c r="BG213" s="15"/>
      <c r="BH213" s="15"/>
      <c r="BI213" s="15"/>
      <c r="BJ213" s="15"/>
      <c r="BK213" s="15"/>
      <c r="BL213" s="15"/>
      <c r="BM213" s="15"/>
      <c r="BN213" s="15"/>
      <c r="BO213" s="15"/>
      <c r="BP213" s="15"/>
      <c r="BQ213" s="242"/>
      <c r="BR213" s="15"/>
      <c r="BS213" s="15"/>
      <c r="BT213" s="15"/>
      <c r="BU213" s="15"/>
      <c r="BV213" s="15"/>
      <c r="BW213" s="15"/>
      <c r="BX213" s="15"/>
      <c r="BY213" s="15"/>
      <c r="BZ213" s="15"/>
      <c r="CA213" s="15"/>
      <c r="CB213" s="15"/>
      <c r="CC213" s="15"/>
      <c r="CD213" s="15"/>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f t="shared" si="58"/>
        <v>0</v>
      </c>
      <c r="DE213" s="1"/>
      <c r="DF213" s="1"/>
      <c r="DG213" s="1"/>
      <c r="DH213" s="1"/>
      <c r="DI213" s="1"/>
      <c r="DJ213" s="1"/>
      <c r="DK213" s="1"/>
      <c r="DL213" s="1"/>
      <c r="DM213" s="1"/>
      <c r="DN213" s="1"/>
      <c r="DO213" s="1"/>
      <c r="DP213" s="1"/>
      <c r="DQ213" s="1"/>
    </row>
    <row r="214" spans="1:121" x14ac:dyDescent="0.2">
      <c r="A214" s="855"/>
      <c r="B214" s="775"/>
      <c r="C214" s="833"/>
      <c r="D214" s="1" t="s">
        <v>1668</v>
      </c>
      <c r="E214" s="1"/>
      <c r="F214" s="1"/>
      <c r="G214" s="775"/>
      <c r="H214" s="1"/>
      <c r="I214" s="1"/>
      <c r="J214" s="1"/>
      <c r="K214" s="1"/>
      <c r="L214" s="116"/>
      <c r="M214" s="116"/>
      <c r="N214" s="116"/>
      <c r="O214" s="116"/>
      <c r="P214" s="375"/>
      <c r="Q214" s="116"/>
      <c r="R214" s="116"/>
      <c r="S214" s="116"/>
      <c r="T214" s="116"/>
      <c r="U214" s="116"/>
      <c r="V214" s="116"/>
      <c r="W214" s="116"/>
      <c r="X214" s="116"/>
      <c r="Y214" s="116"/>
      <c r="Z214" s="116"/>
      <c r="AA214" s="116"/>
      <c r="AB214" s="116"/>
      <c r="AC214" s="116"/>
      <c r="AD214" s="116"/>
      <c r="AE214" s="116"/>
      <c r="AF214" s="116"/>
      <c r="AG214" s="116"/>
      <c r="AH214" s="1"/>
      <c r="AI214" s="46"/>
      <c r="AJ214" s="46"/>
      <c r="AK214" s="46"/>
      <c r="AL214" s="46"/>
      <c r="AM214" s="46"/>
      <c r="AN214" s="46"/>
      <c r="AO214" s="46"/>
      <c r="AP214" s="46"/>
      <c r="AQ214" s="1"/>
      <c r="AR214" s="15"/>
      <c r="AS214" s="15"/>
      <c r="AT214" s="15"/>
      <c r="AU214" s="15"/>
      <c r="AV214" s="15"/>
      <c r="AW214" s="15"/>
      <c r="AX214" s="15"/>
      <c r="AY214" s="15"/>
      <c r="AZ214" s="15"/>
      <c r="BA214" s="15"/>
      <c r="BB214" s="15"/>
      <c r="BC214" s="15"/>
      <c r="BD214" s="102"/>
      <c r="BE214" s="15"/>
      <c r="BF214" s="15"/>
      <c r="BG214" s="15"/>
      <c r="BH214" s="15"/>
      <c r="BI214" s="15"/>
      <c r="BJ214" s="15"/>
      <c r="BK214" s="15"/>
      <c r="BL214" s="15"/>
      <c r="BM214" s="15"/>
      <c r="BN214" s="15"/>
      <c r="BO214" s="15"/>
      <c r="BP214" s="15"/>
      <c r="BQ214" s="242"/>
      <c r="BR214" s="15"/>
      <c r="BS214" s="15"/>
      <c r="BT214" s="15"/>
      <c r="BU214" s="15"/>
      <c r="BV214" s="15"/>
      <c r="BW214" s="15"/>
      <c r="BX214" s="15"/>
      <c r="BY214" s="15"/>
      <c r="BZ214" s="15"/>
      <c r="CA214" s="15"/>
      <c r="CB214" s="15"/>
      <c r="CC214" s="15"/>
      <c r="CD214" s="15"/>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f t="shared" si="58"/>
        <v>0</v>
      </c>
      <c r="DE214" s="1"/>
      <c r="DF214" s="1"/>
      <c r="DG214" s="1"/>
      <c r="DH214" s="1"/>
      <c r="DI214" s="1"/>
      <c r="DJ214" s="1"/>
      <c r="DK214" s="1"/>
      <c r="DL214" s="1"/>
      <c r="DM214" s="1"/>
      <c r="DN214" s="1"/>
      <c r="DO214" s="1"/>
      <c r="DP214" s="1"/>
      <c r="DQ214" s="1"/>
    </row>
    <row r="215" spans="1:121" x14ac:dyDescent="0.2">
      <c r="A215" s="855"/>
      <c r="B215" s="775"/>
      <c r="C215" s="833"/>
      <c r="D215" s="1" t="s">
        <v>1669</v>
      </c>
      <c r="E215" s="1"/>
      <c r="F215" s="1"/>
      <c r="G215" s="775"/>
      <c r="H215" s="1"/>
      <c r="I215" s="1"/>
      <c r="J215" s="1"/>
      <c r="K215" s="1"/>
      <c r="L215" s="116"/>
      <c r="M215" s="116"/>
      <c r="N215" s="116"/>
      <c r="O215" s="116"/>
      <c r="P215" s="375"/>
      <c r="Q215" s="116"/>
      <c r="R215" s="116"/>
      <c r="S215" s="116"/>
      <c r="T215" s="116"/>
      <c r="U215" s="116"/>
      <c r="V215" s="116"/>
      <c r="W215" s="116"/>
      <c r="X215" s="116"/>
      <c r="Y215" s="116"/>
      <c r="Z215" s="116"/>
      <c r="AA215" s="116"/>
      <c r="AB215" s="116"/>
      <c r="AC215" s="116"/>
      <c r="AD215" s="116"/>
      <c r="AE215" s="116"/>
      <c r="AF215" s="116"/>
      <c r="AG215" s="116"/>
      <c r="AH215" s="1"/>
      <c r="AI215" s="46"/>
      <c r="AJ215" s="46"/>
      <c r="AK215" s="46"/>
      <c r="AL215" s="46"/>
      <c r="AM215" s="46"/>
      <c r="AN215" s="46"/>
      <c r="AO215" s="46"/>
      <c r="AP215" s="46"/>
      <c r="AQ215" s="1"/>
      <c r="AR215" s="15"/>
      <c r="AS215" s="15"/>
      <c r="AT215" s="15"/>
      <c r="AU215" s="15"/>
      <c r="AV215" s="15"/>
      <c r="AW215" s="15"/>
      <c r="AX215" s="15"/>
      <c r="AY215" s="15"/>
      <c r="AZ215" s="15"/>
      <c r="BA215" s="15"/>
      <c r="BB215" s="15"/>
      <c r="BC215" s="15"/>
      <c r="BD215" s="102"/>
      <c r="BE215" s="15"/>
      <c r="BF215" s="15"/>
      <c r="BG215" s="15"/>
      <c r="BH215" s="15"/>
      <c r="BI215" s="15"/>
      <c r="BJ215" s="15"/>
      <c r="BK215" s="15"/>
      <c r="BL215" s="15"/>
      <c r="BM215" s="15"/>
      <c r="BN215" s="15"/>
      <c r="BO215" s="15"/>
      <c r="BP215" s="15"/>
      <c r="BQ215" s="242"/>
      <c r="BR215" s="15"/>
      <c r="BS215" s="15"/>
      <c r="BT215" s="15"/>
      <c r="BU215" s="15"/>
      <c r="BV215" s="15"/>
      <c r="BW215" s="15"/>
      <c r="BX215" s="15"/>
      <c r="BY215" s="15"/>
      <c r="BZ215" s="15"/>
      <c r="CA215" s="15"/>
      <c r="CB215" s="15"/>
      <c r="CC215" s="15"/>
      <c r="CD215" s="15"/>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f t="shared" si="58"/>
        <v>0</v>
      </c>
      <c r="DE215" s="1"/>
      <c r="DF215" s="1"/>
      <c r="DG215" s="1"/>
      <c r="DH215" s="1"/>
      <c r="DI215" s="1"/>
      <c r="DJ215" s="1"/>
      <c r="DK215" s="1"/>
      <c r="DL215" s="1"/>
      <c r="DM215" s="1"/>
      <c r="DN215" s="1"/>
      <c r="DO215" s="1"/>
      <c r="DP215" s="1"/>
      <c r="DQ215" s="1"/>
    </row>
    <row r="216" spans="1:121" x14ac:dyDescent="0.2">
      <c r="A216" s="855"/>
      <c r="B216" s="775"/>
      <c r="C216" s="833"/>
      <c r="D216" s="1" t="s">
        <v>1670</v>
      </c>
      <c r="E216" s="1"/>
      <c r="F216" s="1"/>
      <c r="G216" s="775"/>
      <c r="H216" s="1"/>
      <c r="I216" s="1"/>
      <c r="J216" s="1"/>
      <c r="K216" s="1"/>
      <c r="L216" s="116"/>
      <c r="M216" s="116"/>
      <c r="N216" s="116"/>
      <c r="O216" s="116"/>
      <c r="P216" s="375"/>
      <c r="Q216" s="116"/>
      <c r="R216" s="116"/>
      <c r="S216" s="116"/>
      <c r="T216" s="116"/>
      <c r="U216" s="116"/>
      <c r="V216" s="116"/>
      <c r="W216" s="116"/>
      <c r="X216" s="116"/>
      <c r="Y216" s="116"/>
      <c r="Z216" s="116"/>
      <c r="AA216" s="116"/>
      <c r="AB216" s="116"/>
      <c r="AC216" s="116"/>
      <c r="AD216" s="116"/>
      <c r="AE216" s="116"/>
      <c r="AF216" s="116"/>
      <c r="AG216" s="116"/>
      <c r="AH216" s="1"/>
      <c r="AI216" s="46"/>
      <c r="AJ216" s="46"/>
      <c r="AK216" s="46"/>
      <c r="AL216" s="46"/>
      <c r="AM216" s="46"/>
      <c r="AN216" s="46"/>
      <c r="AO216" s="46"/>
      <c r="AP216" s="46"/>
      <c r="AQ216" s="1"/>
      <c r="AR216" s="15"/>
      <c r="AS216" s="15"/>
      <c r="AT216" s="15"/>
      <c r="AU216" s="15"/>
      <c r="AV216" s="15"/>
      <c r="AW216" s="15"/>
      <c r="AX216" s="15"/>
      <c r="AY216" s="15"/>
      <c r="AZ216" s="15"/>
      <c r="BA216" s="15"/>
      <c r="BB216" s="15"/>
      <c r="BC216" s="15"/>
      <c r="BD216" s="102"/>
      <c r="BE216" s="15"/>
      <c r="BF216" s="15"/>
      <c r="BG216" s="15"/>
      <c r="BH216" s="15"/>
      <c r="BI216" s="15"/>
      <c r="BJ216" s="15"/>
      <c r="BK216" s="15"/>
      <c r="BL216" s="15"/>
      <c r="BM216" s="15"/>
      <c r="BN216" s="15"/>
      <c r="BO216" s="15"/>
      <c r="BP216" s="15"/>
      <c r="BQ216" s="242"/>
      <c r="BR216" s="15"/>
      <c r="BS216" s="15"/>
      <c r="BT216" s="15"/>
      <c r="BU216" s="15"/>
      <c r="BV216" s="15"/>
      <c r="BW216" s="15"/>
      <c r="BX216" s="15"/>
      <c r="BY216" s="15"/>
      <c r="BZ216" s="15"/>
      <c r="CA216" s="15"/>
      <c r="CB216" s="15"/>
      <c r="CC216" s="15"/>
      <c r="CD216" s="15"/>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f t="shared" si="58"/>
        <v>0</v>
      </c>
      <c r="DE216" s="1"/>
      <c r="DF216" s="1"/>
      <c r="DG216" s="1"/>
      <c r="DH216" s="1"/>
      <c r="DI216" s="1"/>
      <c r="DJ216" s="1"/>
      <c r="DK216" s="1"/>
      <c r="DL216" s="1"/>
      <c r="DM216" s="1"/>
      <c r="DN216" s="1"/>
      <c r="DO216" s="1"/>
      <c r="DP216" s="1"/>
      <c r="DQ216" s="1"/>
    </row>
    <row r="217" spans="1:121" x14ac:dyDescent="0.2">
      <c r="A217" s="855"/>
      <c r="B217" s="775"/>
      <c r="C217" s="833"/>
      <c r="D217" s="1" t="s">
        <v>1671</v>
      </c>
      <c r="E217" s="1"/>
      <c r="F217" s="1"/>
      <c r="G217" s="775"/>
      <c r="H217" s="1"/>
      <c r="I217" s="1"/>
      <c r="J217" s="1"/>
      <c r="K217" s="1"/>
      <c r="L217" s="116"/>
      <c r="M217" s="116"/>
      <c r="N217" s="116"/>
      <c r="O217" s="116"/>
      <c r="P217" s="375"/>
      <c r="Q217" s="116"/>
      <c r="R217" s="116"/>
      <c r="S217" s="116"/>
      <c r="T217" s="116"/>
      <c r="U217" s="116"/>
      <c r="V217" s="116"/>
      <c r="W217" s="116"/>
      <c r="X217" s="116"/>
      <c r="Y217" s="116"/>
      <c r="Z217" s="116"/>
      <c r="AA217" s="116"/>
      <c r="AB217" s="116"/>
      <c r="AC217" s="116"/>
      <c r="AD217" s="116"/>
      <c r="AE217" s="116"/>
      <c r="AF217" s="116"/>
      <c r="AG217" s="116"/>
      <c r="AH217" s="1"/>
      <c r="AI217" s="46"/>
      <c r="AJ217" s="46"/>
      <c r="AK217" s="46"/>
      <c r="AL217" s="46"/>
      <c r="AM217" s="46"/>
      <c r="AN217" s="46"/>
      <c r="AO217" s="46"/>
      <c r="AP217" s="46"/>
      <c r="AQ217" s="1"/>
      <c r="AR217" s="15"/>
      <c r="AS217" s="15"/>
      <c r="AT217" s="15"/>
      <c r="AU217" s="15"/>
      <c r="AV217" s="15"/>
      <c r="AW217" s="15"/>
      <c r="AX217" s="15"/>
      <c r="AY217" s="15"/>
      <c r="AZ217" s="15"/>
      <c r="BA217" s="15"/>
      <c r="BB217" s="15"/>
      <c r="BC217" s="15"/>
      <c r="BD217" s="102"/>
      <c r="BE217" s="15"/>
      <c r="BF217" s="15"/>
      <c r="BG217" s="15"/>
      <c r="BH217" s="15"/>
      <c r="BI217" s="15"/>
      <c r="BJ217" s="15"/>
      <c r="BK217" s="15"/>
      <c r="BL217" s="15"/>
      <c r="BM217" s="15"/>
      <c r="BN217" s="15"/>
      <c r="BO217" s="15"/>
      <c r="BP217" s="15"/>
      <c r="BQ217" s="242"/>
      <c r="BR217" s="15"/>
      <c r="BS217" s="15"/>
      <c r="BT217" s="15"/>
      <c r="BU217" s="15"/>
      <c r="BV217" s="15"/>
      <c r="BW217" s="15"/>
      <c r="BX217" s="15"/>
      <c r="BY217" s="15"/>
      <c r="BZ217" s="15"/>
      <c r="CA217" s="15"/>
      <c r="CB217" s="15"/>
      <c r="CC217" s="15"/>
      <c r="CD217" s="15"/>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f t="shared" si="58"/>
        <v>0</v>
      </c>
      <c r="DE217" s="1"/>
      <c r="DF217" s="1"/>
      <c r="DG217" s="1"/>
      <c r="DH217" s="1"/>
      <c r="DI217" s="1"/>
      <c r="DJ217" s="1"/>
      <c r="DK217" s="1"/>
      <c r="DL217" s="1"/>
      <c r="DM217" s="1"/>
      <c r="DN217" s="1"/>
      <c r="DO217" s="1"/>
      <c r="DP217" s="1"/>
      <c r="DQ217" s="1"/>
    </row>
    <row r="218" spans="1:121" x14ac:dyDescent="0.2">
      <c r="A218" s="855"/>
      <c r="B218" s="775"/>
      <c r="C218" s="833"/>
      <c r="D218" s="1" t="s">
        <v>1672</v>
      </c>
      <c r="E218" s="1"/>
      <c r="F218" s="1"/>
      <c r="G218" s="775"/>
      <c r="H218" s="1"/>
      <c r="I218" s="1"/>
      <c r="J218" s="1"/>
      <c r="K218" s="1"/>
      <c r="L218" s="116"/>
      <c r="M218" s="116"/>
      <c r="N218" s="116"/>
      <c r="O218" s="116"/>
      <c r="P218" s="375"/>
      <c r="Q218" s="116"/>
      <c r="R218" s="116"/>
      <c r="S218" s="116"/>
      <c r="T218" s="116"/>
      <c r="U218" s="116"/>
      <c r="V218" s="116"/>
      <c r="W218" s="116"/>
      <c r="X218" s="116"/>
      <c r="Y218" s="116"/>
      <c r="Z218" s="116"/>
      <c r="AA218" s="116"/>
      <c r="AB218" s="116"/>
      <c r="AC218" s="116"/>
      <c r="AD218" s="116"/>
      <c r="AE218" s="116"/>
      <c r="AF218" s="116"/>
      <c r="AG218" s="116"/>
      <c r="AH218" s="1"/>
      <c r="AI218" s="46"/>
      <c r="AJ218" s="46"/>
      <c r="AK218" s="46"/>
      <c r="AL218" s="46"/>
      <c r="AM218" s="46"/>
      <c r="AN218" s="46"/>
      <c r="AO218" s="46"/>
      <c r="AP218" s="46"/>
      <c r="AQ218" s="1"/>
      <c r="AR218" s="15"/>
      <c r="AS218" s="15"/>
      <c r="AT218" s="15"/>
      <c r="AU218" s="15"/>
      <c r="AV218" s="15"/>
      <c r="AW218" s="15"/>
      <c r="AX218" s="15"/>
      <c r="AY218" s="15"/>
      <c r="AZ218" s="15"/>
      <c r="BA218" s="15"/>
      <c r="BB218" s="15"/>
      <c r="BC218" s="15"/>
      <c r="BD218" s="102"/>
      <c r="BE218" s="15"/>
      <c r="BF218" s="15"/>
      <c r="BG218" s="15"/>
      <c r="BH218" s="15"/>
      <c r="BI218" s="15"/>
      <c r="BJ218" s="15"/>
      <c r="BK218" s="15"/>
      <c r="BL218" s="15"/>
      <c r="BM218" s="15"/>
      <c r="BN218" s="15"/>
      <c r="BO218" s="15"/>
      <c r="BP218" s="15"/>
      <c r="BQ218" s="242"/>
      <c r="BR218" s="15"/>
      <c r="BS218" s="15"/>
      <c r="BT218" s="15"/>
      <c r="BU218" s="15"/>
      <c r="BV218" s="15"/>
      <c r="BW218" s="15"/>
      <c r="BX218" s="15"/>
      <c r="BY218" s="15"/>
      <c r="BZ218" s="15"/>
      <c r="CA218" s="15"/>
      <c r="CB218" s="15"/>
      <c r="CC218" s="15"/>
      <c r="CD218" s="15"/>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f t="shared" si="58"/>
        <v>0</v>
      </c>
      <c r="DE218" s="1"/>
      <c r="DF218" s="1"/>
      <c r="DG218" s="1"/>
      <c r="DH218" s="1"/>
      <c r="DI218" s="1"/>
      <c r="DJ218" s="1"/>
      <c r="DK218" s="1"/>
      <c r="DL218" s="1"/>
      <c r="DM218" s="1"/>
      <c r="DN218" s="1"/>
      <c r="DO218" s="1"/>
      <c r="DP218" s="1"/>
      <c r="DQ218" s="1"/>
    </row>
    <row r="219" spans="1:121" x14ac:dyDescent="0.2">
      <c r="A219" s="855"/>
      <c r="B219" s="775"/>
      <c r="C219" s="833"/>
      <c r="D219" s="1" t="s">
        <v>1673</v>
      </c>
      <c r="E219" s="1"/>
      <c r="F219" s="1"/>
      <c r="G219" s="775"/>
      <c r="H219" s="1"/>
      <c r="I219" s="1"/>
      <c r="J219" s="1"/>
      <c r="K219" s="1"/>
      <c r="L219" s="116"/>
      <c r="M219" s="116"/>
      <c r="N219" s="116"/>
      <c r="O219" s="116"/>
      <c r="P219" s="375"/>
      <c r="Q219" s="116"/>
      <c r="R219" s="116"/>
      <c r="S219" s="116"/>
      <c r="T219" s="116"/>
      <c r="U219" s="116"/>
      <c r="V219" s="116"/>
      <c r="W219" s="116"/>
      <c r="X219" s="116"/>
      <c r="Y219" s="116"/>
      <c r="Z219" s="116"/>
      <c r="AA219" s="116"/>
      <c r="AB219" s="116"/>
      <c r="AC219" s="116"/>
      <c r="AD219" s="116"/>
      <c r="AE219" s="116"/>
      <c r="AF219" s="116"/>
      <c r="AG219" s="116"/>
      <c r="AH219" s="1"/>
      <c r="AI219" s="46"/>
      <c r="AJ219" s="46"/>
      <c r="AK219" s="46"/>
      <c r="AL219" s="46"/>
      <c r="AM219" s="46"/>
      <c r="AN219" s="46"/>
      <c r="AO219" s="46"/>
      <c r="AP219" s="46"/>
      <c r="AQ219" s="1"/>
      <c r="AR219" s="15"/>
      <c r="AS219" s="15"/>
      <c r="AT219" s="15"/>
      <c r="AU219" s="15"/>
      <c r="AV219" s="15"/>
      <c r="AW219" s="15"/>
      <c r="AX219" s="15"/>
      <c r="AY219" s="15"/>
      <c r="AZ219" s="15"/>
      <c r="BA219" s="15"/>
      <c r="BB219" s="15"/>
      <c r="BC219" s="15"/>
      <c r="BD219" s="102"/>
      <c r="BE219" s="15"/>
      <c r="BF219" s="15"/>
      <c r="BG219" s="15"/>
      <c r="BH219" s="15"/>
      <c r="BI219" s="15"/>
      <c r="BJ219" s="15"/>
      <c r="BK219" s="15"/>
      <c r="BL219" s="15"/>
      <c r="BM219" s="15"/>
      <c r="BN219" s="15"/>
      <c r="BO219" s="15"/>
      <c r="BP219" s="15"/>
      <c r="BQ219" s="242"/>
      <c r="BR219" s="15"/>
      <c r="BS219" s="15"/>
      <c r="BT219" s="15"/>
      <c r="BU219" s="15"/>
      <c r="BV219" s="15"/>
      <c r="BW219" s="15"/>
      <c r="BX219" s="15"/>
      <c r="BY219" s="15"/>
      <c r="BZ219" s="15"/>
      <c r="CA219" s="15"/>
      <c r="CB219" s="15"/>
      <c r="CC219" s="15"/>
      <c r="CD219" s="15"/>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f t="shared" si="58"/>
        <v>0</v>
      </c>
      <c r="DE219" s="1"/>
      <c r="DF219" s="1"/>
      <c r="DG219" s="1"/>
      <c r="DH219" s="1"/>
      <c r="DI219" s="1"/>
      <c r="DJ219" s="1"/>
      <c r="DK219" s="1"/>
      <c r="DL219" s="1"/>
      <c r="DM219" s="1"/>
      <c r="DN219" s="1"/>
      <c r="DO219" s="1"/>
      <c r="DP219" s="1"/>
      <c r="DQ219" s="1"/>
    </row>
    <row r="220" spans="1:121" x14ac:dyDescent="0.2">
      <c r="A220" s="855"/>
      <c r="B220" s="775"/>
      <c r="C220" s="833"/>
      <c r="D220" s="1" t="s">
        <v>1674</v>
      </c>
      <c r="E220" s="1"/>
      <c r="F220" s="1"/>
      <c r="G220" s="775"/>
      <c r="H220" s="1"/>
      <c r="I220" s="1"/>
      <c r="J220" s="1"/>
      <c r="K220" s="1"/>
      <c r="L220" s="116"/>
      <c r="M220" s="116"/>
      <c r="N220" s="116"/>
      <c r="O220" s="116"/>
      <c r="P220" s="375"/>
      <c r="Q220" s="116"/>
      <c r="R220" s="116"/>
      <c r="S220" s="116"/>
      <c r="T220" s="116"/>
      <c r="U220" s="116"/>
      <c r="V220" s="116"/>
      <c r="W220" s="116"/>
      <c r="X220" s="116"/>
      <c r="Y220" s="116"/>
      <c r="Z220" s="116"/>
      <c r="AA220" s="116"/>
      <c r="AB220" s="116"/>
      <c r="AC220" s="116"/>
      <c r="AD220" s="116"/>
      <c r="AE220" s="116"/>
      <c r="AF220" s="116"/>
      <c r="AG220" s="116"/>
      <c r="AH220" s="1"/>
      <c r="AI220" s="46"/>
      <c r="AJ220" s="46"/>
      <c r="AK220" s="46"/>
      <c r="AL220" s="46"/>
      <c r="AM220" s="46"/>
      <c r="AN220" s="46"/>
      <c r="AO220" s="46"/>
      <c r="AP220" s="46"/>
      <c r="AQ220" s="1"/>
      <c r="AR220" s="15"/>
      <c r="AS220" s="15"/>
      <c r="AT220" s="15"/>
      <c r="AU220" s="15"/>
      <c r="AV220" s="15"/>
      <c r="AW220" s="15"/>
      <c r="AX220" s="15"/>
      <c r="AY220" s="15"/>
      <c r="AZ220" s="15"/>
      <c r="BA220" s="15"/>
      <c r="BB220" s="15"/>
      <c r="BC220" s="15"/>
      <c r="BD220" s="102"/>
      <c r="BE220" s="15"/>
      <c r="BF220" s="15"/>
      <c r="BG220" s="15"/>
      <c r="BH220" s="15"/>
      <c r="BI220" s="15"/>
      <c r="BJ220" s="15"/>
      <c r="BK220" s="15"/>
      <c r="BL220" s="15"/>
      <c r="BM220" s="15"/>
      <c r="BN220" s="15"/>
      <c r="BO220" s="15"/>
      <c r="BP220" s="15"/>
      <c r="BQ220" s="242"/>
      <c r="BR220" s="15"/>
      <c r="BS220" s="15"/>
      <c r="BT220" s="15"/>
      <c r="BU220" s="15"/>
      <c r="BV220" s="15"/>
      <c r="BW220" s="15"/>
      <c r="BX220" s="15"/>
      <c r="BY220" s="15"/>
      <c r="BZ220" s="15"/>
      <c r="CA220" s="15"/>
      <c r="CB220" s="15"/>
      <c r="CC220" s="15"/>
      <c r="CD220" s="15"/>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f t="shared" si="58"/>
        <v>0</v>
      </c>
      <c r="DE220" s="1"/>
      <c r="DF220" s="1"/>
      <c r="DG220" s="1"/>
      <c r="DH220" s="1"/>
      <c r="DI220" s="1"/>
      <c r="DJ220" s="1"/>
      <c r="DK220" s="1"/>
      <c r="DL220" s="1"/>
      <c r="DM220" s="1"/>
      <c r="DN220" s="1"/>
      <c r="DO220" s="1"/>
      <c r="DP220" s="1"/>
      <c r="DQ220" s="1"/>
    </row>
    <row r="221" spans="1:121" x14ac:dyDescent="0.2">
      <c r="A221" s="855"/>
      <c r="B221" s="775"/>
      <c r="C221" s="833"/>
      <c r="D221" s="1" t="s">
        <v>500</v>
      </c>
      <c r="E221" s="1"/>
      <c r="F221" s="1"/>
      <c r="G221" s="775"/>
      <c r="H221" s="1"/>
      <c r="I221" s="1"/>
      <c r="J221" s="1"/>
      <c r="K221" s="1"/>
      <c r="L221" s="116"/>
      <c r="M221" s="116"/>
      <c r="N221" s="116"/>
      <c r="O221" s="116"/>
      <c r="P221" s="375"/>
      <c r="Q221" s="116"/>
      <c r="R221" s="116"/>
      <c r="S221" s="116"/>
      <c r="T221" s="116"/>
      <c r="U221" s="116"/>
      <c r="V221" s="116"/>
      <c r="W221" s="116"/>
      <c r="X221" s="116"/>
      <c r="Y221" s="116"/>
      <c r="Z221" s="116"/>
      <c r="AA221" s="116"/>
      <c r="AB221" s="116"/>
      <c r="AC221" s="116"/>
      <c r="AD221" s="116"/>
      <c r="AE221" s="116"/>
      <c r="AF221" s="116"/>
      <c r="AG221" s="116"/>
      <c r="AH221" s="1"/>
      <c r="AI221" s="46"/>
      <c r="AJ221" s="46"/>
      <c r="AK221" s="46"/>
      <c r="AL221" s="46"/>
      <c r="AM221" s="46"/>
      <c r="AN221" s="46"/>
      <c r="AO221" s="46"/>
      <c r="AP221" s="46"/>
      <c r="AQ221" s="1"/>
      <c r="AR221" s="15"/>
      <c r="AS221" s="15"/>
      <c r="AT221" s="15"/>
      <c r="AU221" s="15"/>
      <c r="AV221" s="15"/>
      <c r="AW221" s="15"/>
      <c r="AX221" s="15"/>
      <c r="AY221" s="15"/>
      <c r="AZ221" s="15"/>
      <c r="BA221" s="15"/>
      <c r="BB221" s="15"/>
      <c r="BC221" s="15"/>
      <c r="BD221" s="102"/>
      <c r="BE221" s="15"/>
      <c r="BF221" s="15"/>
      <c r="BG221" s="15"/>
      <c r="BH221" s="15"/>
      <c r="BI221" s="15"/>
      <c r="BJ221" s="15"/>
      <c r="BK221" s="15"/>
      <c r="BL221" s="15"/>
      <c r="BM221" s="15"/>
      <c r="BN221" s="15"/>
      <c r="BO221" s="15"/>
      <c r="BP221" s="15"/>
      <c r="BQ221" s="242"/>
      <c r="BR221" s="15"/>
      <c r="BS221" s="15"/>
      <c r="BT221" s="15"/>
      <c r="BU221" s="15"/>
      <c r="BV221" s="15"/>
      <c r="BW221" s="15"/>
      <c r="BX221" s="15"/>
      <c r="BY221" s="15"/>
      <c r="BZ221" s="15"/>
      <c r="CA221" s="15"/>
      <c r="CB221" s="15"/>
      <c r="CC221" s="15"/>
      <c r="CD221" s="15"/>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f t="shared" si="58"/>
        <v>0</v>
      </c>
      <c r="DE221" s="1"/>
      <c r="DF221" s="1"/>
      <c r="DG221" s="1"/>
      <c r="DH221" s="1"/>
      <c r="DI221" s="1"/>
      <c r="DJ221" s="1"/>
      <c r="DK221" s="1"/>
      <c r="DL221" s="1"/>
      <c r="DM221" s="1"/>
      <c r="DN221" s="1"/>
      <c r="DO221" s="1"/>
      <c r="DP221" s="1"/>
      <c r="DQ221" s="1"/>
    </row>
    <row r="222" spans="1:121" x14ac:dyDescent="0.2">
      <c r="A222" s="855"/>
      <c r="B222" s="775"/>
      <c r="C222" s="833"/>
      <c r="D222" s="1" t="s">
        <v>1675</v>
      </c>
      <c r="E222" s="1"/>
      <c r="F222" s="1"/>
      <c r="G222" s="775"/>
      <c r="H222" s="1"/>
      <c r="I222" s="1"/>
      <c r="J222" s="1"/>
      <c r="K222" s="1"/>
      <c r="L222" s="116"/>
      <c r="M222" s="116"/>
      <c r="N222" s="116"/>
      <c r="O222" s="116"/>
      <c r="P222" s="375"/>
      <c r="Q222" s="116"/>
      <c r="R222" s="116"/>
      <c r="S222" s="116"/>
      <c r="T222" s="116"/>
      <c r="U222" s="116"/>
      <c r="V222" s="116"/>
      <c r="W222" s="116"/>
      <c r="X222" s="116"/>
      <c r="Y222" s="116"/>
      <c r="Z222" s="116"/>
      <c r="AA222" s="116"/>
      <c r="AB222" s="116"/>
      <c r="AC222" s="116"/>
      <c r="AD222" s="116"/>
      <c r="AE222" s="116"/>
      <c r="AF222" s="116"/>
      <c r="AG222" s="116"/>
      <c r="AH222" s="1"/>
      <c r="AI222" s="46"/>
      <c r="AJ222" s="46"/>
      <c r="AK222" s="46"/>
      <c r="AL222" s="46"/>
      <c r="AM222" s="46"/>
      <c r="AN222" s="46"/>
      <c r="AO222" s="46"/>
      <c r="AP222" s="46"/>
      <c r="AQ222" s="1"/>
      <c r="AR222" s="15"/>
      <c r="AS222" s="15"/>
      <c r="AT222" s="15"/>
      <c r="AU222" s="15"/>
      <c r="AV222" s="15"/>
      <c r="AW222" s="15"/>
      <c r="AX222" s="15"/>
      <c r="AY222" s="15"/>
      <c r="AZ222" s="15"/>
      <c r="BA222" s="15"/>
      <c r="BB222" s="15"/>
      <c r="BC222" s="15"/>
      <c r="BD222" s="102"/>
      <c r="BE222" s="15"/>
      <c r="BF222" s="15"/>
      <c r="BG222" s="15"/>
      <c r="BH222" s="15"/>
      <c r="BI222" s="15"/>
      <c r="BJ222" s="15"/>
      <c r="BK222" s="15"/>
      <c r="BL222" s="15"/>
      <c r="BM222" s="15"/>
      <c r="BN222" s="15"/>
      <c r="BO222" s="15"/>
      <c r="BP222" s="15"/>
      <c r="BQ222" s="242"/>
      <c r="BR222" s="15"/>
      <c r="BS222" s="15"/>
      <c r="BT222" s="15"/>
      <c r="BU222" s="15"/>
      <c r="BV222" s="15"/>
      <c r="BW222" s="15"/>
      <c r="BX222" s="15"/>
      <c r="BY222" s="15"/>
      <c r="BZ222" s="15"/>
      <c r="CA222" s="15"/>
      <c r="CB222" s="15"/>
      <c r="CC222" s="15"/>
      <c r="CD222" s="15"/>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f t="shared" si="58"/>
        <v>0</v>
      </c>
      <c r="DE222" s="1"/>
      <c r="DF222" s="1"/>
      <c r="DG222" s="1"/>
      <c r="DH222" s="1"/>
      <c r="DI222" s="1"/>
      <c r="DJ222" s="1"/>
      <c r="DK222" s="1"/>
      <c r="DL222" s="1"/>
      <c r="DM222" s="1"/>
      <c r="DN222" s="1"/>
      <c r="DO222" s="1"/>
      <c r="DP222" s="1"/>
      <c r="DQ222" s="1"/>
    </row>
    <row r="223" spans="1:121" x14ac:dyDescent="0.2">
      <c r="A223" s="855"/>
      <c r="B223" s="775"/>
      <c r="C223" s="833"/>
      <c r="D223" s="1" t="s">
        <v>1676</v>
      </c>
      <c r="E223" s="1"/>
      <c r="F223" s="1"/>
      <c r="G223" s="775"/>
      <c r="H223" s="1"/>
      <c r="I223" s="1"/>
      <c r="J223" s="1"/>
      <c r="K223" s="1"/>
      <c r="L223" s="116"/>
      <c r="M223" s="116"/>
      <c r="N223" s="116"/>
      <c r="O223" s="116"/>
      <c r="P223" s="375"/>
      <c r="Q223" s="116"/>
      <c r="R223" s="116"/>
      <c r="S223" s="116"/>
      <c r="T223" s="116"/>
      <c r="U223" s="116"/>
      <c r="V223" s="116"/>
      <c r="W223" s="116"/>
      <c r="X223" s="116"/>
      <c r="Y223" s="116"/>
      <c r="Z223" s="116"/>
      <c r="AA223" s="116"/>
      <c r="AB223" s="116"/>
      <c r="AC223" s="116"/>
      <c r="AD223" s="116"/>
      <c r="AE223" s="116"/>
      <c r="AF223" s="116"/>
      <c r="AG223" s="116"/>
      <c r="AH223" s="1"/>
      <c r="AI223" s="46"/>
      <c r="AJ223" s="46"/>
      <c r="AK223" s="46"/>
      <c r="AL223" s="46"/>
      <c r="AM223" s="46"/>
      <c r="AN223" s="46"/>
      <c r="AO223" s="46"/>
      <c r="AP223" s="46"/>
      <c r="AQ223" s="1"/>
      <c r="AR223" s="15"/>
      <c r="AS223" s="15"/>
      <c r="AT223" s="15"/>
      <c r="AU223" s="15"/>
      <c r="AV223" s="15"/>
      <c r="AW223" s="15"/>
      <c r="AX223" s="15"/>
      <c r="AY223" s="15"/>
      <c r="AZ223" s="15"/>
      <c r="BA223" s="15"/>
      <c r="BB223" s="15"/>
      <c r="BC223" s="15"/>
      <c r="BD223" s="102"/>
      <c r="BE223" s="15"/>
      <c r="BF223" s="15"/>
      <c r="BG223" s="15"/>
      <c r="BH223" s="15"/>
      <c r="BI223" s="15"/>
      <c r="BJ223" s="15"/>
      <c r="BK223" s="15"/>
      <c r="BL223" s="15"/>
      <c r="BM223" s="15"/>
      <c r="BN223" s="15"/>
      <c r="BO223" s="15"/>
      <c r="BP223" s="15"/>
      <c r="BQ223" s="242"/>
      <c r="BR223" s="15"/>
      <c r="BS223" s="15"/>
      <c r="BT223" s="15"/>
      <c r="BU223" s="15"/>
      <c r="BV223" s="15"/>
      <c r="BW223" s="15"/>
      <c r="BX223" s="15"/>
      <c r="BY223" s="15"/>
      <c r="BZ223" s="15"/>
      <c r="CA223" s="15"/>
      <c r="CB223" s="15"/>
      <c r="CC223" s="15"/>
      <c r="CD223" s="15"/>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f t="shared" si="58"/>
        <v>0</v>
      </c>
      <c r="DE223" s="1"/>
      <c r="DF223" s="1"/>
      <c r="DG223" s="1"/>
      <c r="DH223" s="1"/>
      <c r="DI223" s="1"/>
      <c r="DJ223" s="1"/>
      <c r="DK223" s="1"/>
      <c r="DL223" s="1"/>
      <c r="DM223" s="1"/>
      <c r="DN223" s="1"/>
      <c r="DO223" s="1"/>
      <c r="DP223" s="1"/>
      <c r="DQ223" s="1"/>
    </row>
    <row r="224" spans="1:121" x14ac:dyDescent="0.2">
      <c r="A224" s="855"/>
      <c r="B224" s="775"/>
      <c r="C224" s="833"/>
      <c r="D224" s="1" t="s">
        <v>1677</v>
      </c>
      <c r="E224" s="1"/>
      <c r="F224" s="1"/>
      <c r="G224" s="775"/>
      <c r="H224" s="1"/>
      <c r="I224" s="1"/>
      <c r="J224" s="1"/>
      <c r="K224" s="1"/>
      <c r="L224" s="116"/>
      <c r="M224" s="116"/>
      <c r="N224" s="116"/>
      <c r="O224" s="116"/>
      <c r="P224" s="375"/>
      <c r="Q224" s="116"/>
      <c r="R224" s="116"/>
      <c r="S224" s="116"/>
      <c r="T224" s="116"/>
      <c r="U224" s="116"/>
      <c r="V224" s="116"/>
      <c r="W224" s="116"/>
      <c r="X224" s="116"/>
      <c r="Y224" s="116"/>
      <c r="Z224" s="116"/>
      <c r="AA224" s="116"/>
      <c r="AB224" s="116"/>
      <c r="AC224" s="116"/>
      <c r="AD224" s="116"/>
      <c r="AE224" s="116"/>
      <c r="AF224" s="116"/>
      <c r="AG224" s="116"/>
      <c r="AH224" s="1"/>
      <c r="AI224" s="46"/>
      <c r="AJ224" s="46"/>
      <c r="AK224" s="46"/>
      <c r="AL224" s="46"/>
      <c r="AM224" s="46"/>
      <c r="AN224" s="46"/>
      <c r="AO224" s="46"/>
      <c r="AP224" s="46"/>
      <c r="AQ224" s="1"/>
      <c r="AR224" s="15"/>
      <c r="AS224" s="15"/>
      <c r="AT224" s="15"/>
      <c r="AU224" s="15"/>
      <c r="AV224" s="15"/>
      <c r="AW224" s="15"/>
      <c r="AX224" s="15"/>
      <c r="AY224" s="15"/>
      <c r="AZ224" s="15"/>
      <c r="BA224" s="15"/>
      <c r="BB224" s="15"/>
      <c r="BC224" s="15"/>
      <c r="BD224" s="102"/>
      <c r="BE224" s="15"/>
      <c r="BF224" s="15"/>
      <c r="BG224" s="15"/>
      <c r="BH224" s="15"/>
      <c r="BI224" s="15"/>
      <c r="BJ224" s="15"/>
      <c r="BK224" s="15"/>
      <c r="BL224" s="15"/>
      <c r="BM224" s="15"/>
      <c r="BN224" s="15"/>
      <c r="BO224" s="15"/>
      <c r="BP224" s="15"/>
      <c r="BQ224" s="242"/>
      <c r="BR224" s="15"/>
      <c r="BS224" s="15"/>
      <c r="BT224" s="15"/>
      <c r="BU224" s="15"/>
      <c r="BV224" s="15"/>
      <c r="BW224" s="15"/>
      <c r="BX224" s="15"/>
      <c r="BY224" s="15"/>
      <c r="BZ224" s="15"/>
      <c r="CA224" s="15"/>
      <c r="CB224" s="15"/>
      <c r="CC224" s="15"/>
      <c r="CD224" s="15"/>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f t="shared" si="58"/>
        <v>0</v>
      </c>
      <c r="DE224" s="1"/>
      <c r="DF224" s="1"/>
      <c r="DG224" s="1"/>
      <c r="DH224" s="1"/>
      <c r="DI224" s="1"/>
      <c r="DJ224" s="1"/>
      <c r="DK224" s="1"/>
      <c r="DL224" s="1"/>
      <c r="DM224" s="1"/>
      <c r="DN224" s="1"/>
      <c r="DO224" s="1"/>
      <c r="DP224" s="1"/>
      <c r="DQ224" s="1"/>
    </row>
    <row r="225" spans="1:121" x14ac:dyDescent="0.2">
      <c r="A225" s="855"/>
      <c r="B225" s="775"/>
      <c r="C225" s="833"/>
      <c r="D225" s="1" t="s">
        <v>1678</v>
      </c>
      <c r="E225" s="1"/>
      <c r="F225" s="1"/>
      <c r="G225" s="775"/>
      <c r="H225" s="1"/>
      <c r="I225" s="1"/>
      <c r="J225" s="1"/>
      <c r="K225" s="1"/>
      <c r="L225" s="116"/>
      <c r="M225" s="116"/>
      <c r="N225" s="116"/>
      <c r="O225" s="116"/>
      <c r="P225" s="375"/>
      <c r="Q225" s="116"/>
      <c r="R225" s="116"/>
      <c r="S225" s="116"/>
      <c r="T225" s="116"/>
      <c r="U225" s="116"/>
      <c r="V225" s="116"/>
      <c r="W225" s="116"/>
      <c r="X225" s="116"/>
      <c r="Y225" s="116"/>
      <c r="Z225" s="116"/>
      <c r="AA225" s="116"/>
      <c r="AB225" s="116"/>
      <c r="AC225" s="116"/>
      <c r="AD225" s="116"/>
      <c r="AE225" s="116"/>
      <c r="AF225" s="116"/>
      <c r="AG225" s="116"/>
      <c r="AH225" s="1"/>
      <c r="AI225" s="46"/>
      <c r="AJ225" s="46"/>
      <c r="AK225" s="46"/>
      <c r="AL225" s="46"/>
      <c r="AM225" s="46"/>
      <c r="AN225" s="46"/>
      <c r="AO225" s="46"/>
      <c r="AP225" s="46"/>
      <c r="AQ225" s="1"/>
      <c r="AR225" s="15"/>
      <c r="AS225" s="15"/>
      <c r="AT225" s="15"/>
      <c r="AU225" s="15"/>
      <c r="AV225" s="15"/>
      <c r="AW225" s="15"/>
      <c r="AX225" s="15"/>
      <c r="AY225" s="15"/>
      <c r="AZ225" s="15"/>
      <c r="BA225" s="15"/>
      <c r="BB225" s="15"/>
      <c r="BC225" s="15"/>
      <c r="BD225" s="102"/>
      <c r="BE225" s="15"/>
      <c r="BF225" s="15"/>
      <c r="BG225" s="15"/>
      <c r="BH225" s="15"/>
      <c r="BI225" s="15"/>
      <c r="BJ225" s="15"/>
      <c r="BK225" s="15"/>
      <c r="BL225" s="15"/>
      <c r="BM225" s="15"/>
      <c r="BN225" s="15"/>
      <c r="BO225" s="15"/>
      <c r="BP225" s="15"/>
      <c r="BQ225" s="242"/>
      <c r="BR225" s="15"/>
      <c r="BS225" s="15"/>
      <c r="BT225" s="15"/>
      <c r="BU225" s="15"/>
      <c r="BV225" s="15"/>
      <c r="BW225" s="15"/>
      <c r="BX225" s="15"/>
      <c r="BY225" s="15"/>
      <c r="BZ225" s="15"/>
      <c r="CA225" s="15"/>
      <c r="CB225" s="15"/>
      <c r="CC225" s="15"/>
      <c r="CD225" s="15"/>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f t="shared" si="58"/>
        <v>0</v>
      </c>
      <c r="DE225" s="1"/>
      <c r="DF225" s="1"/>
      <c r="DG225" s="1"/>
      <c r="DH225" s="1"/>
      <c r="DI225" s="1"/>
      <c r="DJ225" s="1"/>
      <c r="DK225" s="1"/>
      <c r="DL225" s="1"/>
      <c r="DM225" s="1"/>
      <c r="DN225" s="1"/>
      <c r="DO225" s="1"/>
      <c r="DP225" s="1"/>
      <c r="DQ225" s="1"/>
    </row>
    <row r="226" spans="1:121" x14ac:dyDescent="0.2">
      <c r="A226" s="855"/>
      <c r="B226" s="775"/>
      <c r="C226" s="833"/>
      <c r="D226" s="1" t="s">
        <v>1679</v>
      </c>
      <c r="E226" s="1"/>
      <c r="F226" s="1"/>
      <c r="G226" s="775"/>
      <c r="H226" s="1"/>
      <c r="I226" s="1"/>
      <c r="J226" s="1"/>
      <c r="K226" s="1"/>
      <c r="L226" s="116"/>
      <c r="M226" s="116"/>
      <c r="N226" s="116"/>
      <c r="O226" s="116"/>
      <c r="P226" s="375"/>
      <c r="Q226" s="116"/>
      <c r="R226" s="116"/>
      <c r="S226" s="116"/>
      <c r="T226" s="116"/>
      <c r="U226" s="116"/>
      <c r="V226" s="116"/>
      <c r="W226" s="116"/>
      <c r="X226" s="116"/>
      <c r="Y226" s="116"/>
      <c r="Z226" s="116"/>
      <c r="AA226" s="116"/>
      <c r="AB226" s="116"/>
      <c r="AC226" s="116"/>
      <c r="AD226" s="116"/>
      <c r="AE226" s="116"/>
      <c r="AF226" s="116"/>
      <c r="AG226" s="116"/>
      <c r="AH226" s="1"/>
      <c r="AI226" s="46"/>
      <c r="AJ226" s="46"/>
      <c r="AK226" s="46"/>
      <c r="AL226" s="46"/>
      <c r="AM226" s="46"/>
      <c r="AN226" s="46"/>
      <c r="AO226" s="46"/>
      <c r="AP226" s="46"/>
      <c r="AQ226" s="1"/>
      <c r="AR226" s="15"/>
      <c r="AS226" s="15"/>
      <c r="AT226" s="15"/>
      <c r="AU226" s="15"/>
      <c r="AV226" s="15"/>
      <c r="AW226" s="15"/>
      <c r="AX226" s="15"/>
      <c r="AY226" s="15"/>
      <c r="AZ226" s="15"/>
      <c r="BA226" s="15"/>
      <c r="BB226" s="15"/>
      <c r="BC226" s="15"/>
      <c r="BD226" s="102"/>
      <c r="BE226" s="15"/>
      <c r="BF226" s="15"/>
      <c r="BG226" s="15"/>
      <c r="BH226" s="15"/>
      <c r="BI226" s="15"/>
      <c r="BJ226" s="15"/>
      <c r="BK226" s="15"/>
      <c r="BL226" s="15"/>
      <c r="BM226" s="15"/>
      <c r="BN226" s="15"/>
      <c r="BO226" s="15"/>
      <c r="BP226" s="15"/>
      <c r="BQ226" s="242"/>
      <c r="BR226" s="15"/>
      <c r="BS226" s="15"/>
      <c r="BT226" s="15"/>
      <c r="BU226" s="15"/>
      <c r="BV226" s="15"/>
      <c r="BW226" s="15"/>
      <c r="BX226" s="15"/>
      <c r="BY226" s="15"/>
      <c r="BZ226" s="15"/>
      <c r="CA226" s="15"/>
      <c r="CB226" s="15"/>
      <c r="CC226" s="15"/>
      <c r="CD226" s="15"/>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f t="shared" si="58"/>
        <v>0</v>
      </c>
      <c r="DE226" s="1"/>
      <c r="DF226" s="1"/>
      <c r="DG226" s="1"/>
      <c r="DH226" s="1"/>
      <c r="DI226" s="1"/>
      <c r="DJ226" s="1"/>
      <c r="DK226" s="1"/>
      <c r="DL226" s="1"/>
      <c r="DM226" s="1"/>
      <c r="DN226" s="1"/>
      <c r="DO226" s="1"/>
      <c r="DP226" s="1"/>
      <c r="DQ226" s="1"/>
    </row>
    <row r="227" spans="1:121" x14ac:dyDescent="0.2">
      <c r="A227" s="855"/>
      <c r="B227" s="775"/>
      <c r="C227" s="833"/>
      <c r="D227" s="1" t="s">
        <v>1680</v>
      </c>
      <c r="E227" s="1"/>
      <c r="F227" s="1"/>
      <c r="G227" s="775"/>
      <c r="H227" s="1"/>
      <c r="I227" s="1"/>
      <c r="J227" s="1"/>
      <c r="K227" s="1"/>
      <c r="L227" s="116"/>
      <c r="M227" s="116"/>
      <c r="N227" s="116"/>
      <c r="O227" s="116"/>
      <c r="P227" s="375"/>
      <c r="Q227" s="116"/>
      <c r="R227" s="116"/>
      <c r="S227" s="116"/>
      <c r="T227" s="116"/>
      <c r="U227" s="116"/>
      <c r="V227" s="116"/>
      <c r="W227" s="116"/>
      <c r="X227" s="116"/>
      <c r="Y227" s="116"/>
      <c r="Z227" s="116"/>
      <c r="AA227" s="116"/>
      <c r="AB227" s="116"/>
      <c r="AC227" s="116"/>
      <c r="AD227" s="116"/>
      <c r="AE227" s="116"/>
      <c r="AF227" s="116"/>
      <c r="AG227" s="116"/>
      <c r="AH227" s="1"/>
      <c r="AI227" s="46"/>
      <c r="AJ227" s="46"/>
      <c r="AK227" s="46"/>
      <c r="AL227" s="46"/>
      <c r="AM227" s="46"/>
      <c r="AN227" s="46"/>
      <c r="AO227" s="46"/>
      <c r="AP227" s="46"/>
      <c r="AQ227" s="1"/>
      <c r="AR227" s="15"/>
      <c r="AS227" s="15"/>
      <c r="AT227" s="15"/>
      <c r="AU227" s="15"/>
      <c r="AV227" s="15"/>
      <c r="AW227" s="15"/>
      <c r="AX227" s="15"/>
      <c r="AY227" s="15"/>
      <c r="AZ227" s="15"/>
      <c r="BA227" s="15"/>
      <c r="BB227" s="15"/>
      <c r="BC227" s="15"/>
      <c r="BD227" s="102"/>
      <c r="BE227" s="15"/>
      <c r="BF227" s="15"/>
      <c r="BG227" s="15"/>
      <c r="BH227" s="15"/>
      <c r="BI227" s="15"/>
      <c r="BJ227" s="15"/>
      <c r="BK227" s="15"/>
      <c r="BL227" s="15"/>
      <c r="BM227" s="15"/>
      <c r="BN227" s="15"/>
      <c r="BO227" s="15"/>
      <c r="BP227" s="15"/>
      <c r="BQ227" s="242"/>
      <c r="BR227" s="15"/>
      <c r="BS227" s="15"/>
      <c r="BT227" s="15"/>
      <c r="BU227" s="15"/>
      <c r="BV227" s="15"/>
      <c r="BW227" s="15"/>
      <c r="BX227" s="15"/>
      <c r="BY227" s="15"/>
      <c r="BZ227" s="15"/>
      <c r="CA227" s="15"/>
      <c r="CB227" s="15"/>
      <c r="CC227" s="15"/>
      <c r="CD227" s="15"/>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f t="shared" si="58"/>
        <v>0</v>
      </c>
      <c r="DE227" s="1"/>
      <c r="DF227" s="1"/>
      <c r="DG227" s="1"/>
      <c r="DH227" s="1"/>
      <c r="DI227" s="1"/>
      <c r="DJ227" s="1"/>
      <c r="DK227" s="1"/>
      <c r="DL227" s="1"/>
      <c r="DM227" s="1"/>
      <c r="DN227" s="1"/>
      <c r="DO227" s="1"/>
      <c r="DP227" s="1"/>
      <c r="DQ227" s="1"/>
    </row>
    <row r="228" spans="1:121" x14ac:dyDescent="0.2">
      <c r="A228" s="855"/>
      <c r="B228" s="775"/>
      <c r="C228" s="833"/>
      <c r="D228" s="1" t="s">
        <v>1601</v>
      </c>
      <c r="E228" s="1"/>
      <c r="F228" s="1"/>
      <c r="G228" s="775"/>
      <c r="H228" s="1"/>
      <c r="I228" s="1"/>
      <c r="J228" s="1"/>
      <c r="K228" s="1"/>
      <c r="L228" s="116"/>
      <c r="M228" s="116"/>
      <c r="N228" s="116"/>
      <c r="O228" s="116"/>
      <c r="P228" s="375"/>
      <c r="Q228" s="116"/>
      <c r="R228" s="116"/>
      <c r="S228" s="116"/>
      <c r="T228" s="116"/>
      <c r="U228" s="116"/>
      <c r="V228" s="116"/>
      <c r="W228" s="116"/>
      <c r="X228" s="116"/>
      <c r="Y228" s="116"/>
      <c r="Z228" s="116"/>
      <c r="AA228" s="116"/>
      <c r="AB228" s="116"/>
      <c r="AC228" s="116"/>
      <c r="AD228" s="116"/>
      <c r="AE228" s="116"/>
      <c r="AF228" s="116"/>
      <c r="AG228" s="116"/>
      <c r="AH228" s="1"/>
      <c r="AI228" s="46"/>
      <c r="AJ228" s="46"/>
      <c r="AK228" s="46"/>
      <c r="AL228" s="46"/>
      <c r="AM228" s="46"/>
      <c r="AN228" s="46"/>
      <c r="AO228" s="46"/>
      <c r="AP228" s="46"/>
      <c r="AQ228" s="1"/>
      <c r="AR228" s="15"/>
      <c r="AS228" s="15"/>
      <c r="AT228" s="15"/>
      <c r="AU228" s="15"/>
      <c r="AV228" s="15"/>
      <c r="AW228" s="15"/>
      <c r="AX228" s="15"/>
      <c r="AY228" s="15"/>
      <c r="AZ228" s="15"/>
      <c r="BA228" s="15"/>
      <c r="BB228" s="15"/>
      <c r="BC228" s="15"/>
      <c r="BD228" s="102"/>
      <c r="BE228" s="15"/>
      <c r="BF228" s="15"/>
      <c r="BG228" s="15"/>
      <c r="BH228" s="15"/>
      <c r="BI228" s="15"/>
      <c r="BJ228" s="15"/>
      <c r="BK228" s="15"/>
      <c r="BL228" s="15"/>
      <c r="BM228" s="15"/>
      <c r="BN228" s="15"/>
      <c r="BO228" s="15"/>
      <c r="BP228" s="15"/>
      <c r="BQ228" s="242"/>
      <c r="BR228" s="15"/>
      <c r="BS228" s="15"/>
      <c r="BT228" s="15"/>
      <c r="BU228" s="15"/>
      <c r="BV228" s="15"/>
      <c r="BW228" s="15"/>
      <c r="BX228" s="15"/>
      <c r="BY228" s="15"/>
      <c r="BZ228" s="15"/>
      <c r="CA228" s="15"/>
      <c r="CB228" s="15"/>
      <c r="CC228" s="15"/>
      <c r="CD228" s="15"/>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f t="shared" si="58"/>
        <v>0</v>
      </c>
      <c r="DE228" s="1"/>
      <c r="DF228" s="1"/>
      <c r="DG228" s="1"/>
      <c r="DH228" s="1"/>
      <c r="DI228" s="1"/>
      <c r="DJ228" s="1"/>
      <c r="DK228" s="1"/>
      <c r="DL228" s="1"/>
      <c r="DM228" s="1"/>
      <c r="DN228" s="1"/>
      <c r="DO228" s="1"/>
      <c r="DP228" s="1"/>
      <c r="DQ228" s="1"/>
    </row>
    <row r="229" spans="1:121" x14ac:dyDescent="0.2">
      <c r="A229" s="855"/>
      <c r="B229" s="775"/>
      <c r="C229" s="833"/>
      <c r="D229" s="1" t="s">
        <v>1681</v>
      </c>
      <c r="E229" s="1"/>
      <c r="F229" s="1"/>
      <c r="G229" s="775"/>
      <c r="H229" s="1"/>
      <c r="I229" s="1"/>
      <c r="J229" s="1"/>
      <c r="K229" s="1"/>
      <c r="L229" s="116"/>
      <c r="M229" s="116"/>
      <c r="N229" s="116"/>
      <c r="O229" s="116"/>
      <c r="P229" s="375"/>
      <c r="Q229" s="116"/>
      <c r="R229" s="116"/>
      <c r="S229" s="116"/>
      <c r="T229" s="116"/>
      <c r="U229" s="116"/>
      <c r="V229" s="116"/>
      <c r="W229" s="116"/>
      <c r="X229" s="116"/>
      <c r="Y229" s="116"/>
      <c r="Z229" s="116"/>
      <c r="AA229" s="116"/>
      <c r="AB229" s="116"/>
      <c r="AC229" s="116"/>
      <c r="AD229" s="116"/>
      <c r="AE229" s="116"/>
      <c r="AF229" s="116"/>
      <c r="AG229" s="116"/>
      <c r="AH229" s="1"/>
      <c r="AI229" s="46"/>
      <c r="AJ229" s="46"/>
      <c r="AK229" s="46"/>
      <c r="AL229" s="46"/>
      <c r="AM229" s="46"/>
      <c r="AN229" s="46"/>
      <c r="AO229" s="46"/>
      <c r="AP229" s="46"/>
      <c r="AQ229" s="1"/>
      <c r="AR229" s="15"/>
      <c r="AS229" s="15"/>
      <c r="AT229" s="15"/>
      <c r="AU229" s="15"/>
      <c r="AV229" s="15"/>
      <c r="AW229" s="15"/>
      <c r="AX229" s="15"/>
      <c r="AY229" s="15"/>
      <c r="AZ229" s="15"/>
      <c r="BA229" s="15"/>
      <c r="BB229" s="15"/>
      <c r="BC229" s="15"/>
      <c r="BD229" s="102"/>
      <c r="BE229" s="15"/>
      <c r="BF229" s="15"/>
      <c r="BG229" s="15"/>
      <c r="BH229" s="15"/>
      <c r="BI229" s="15"/>
      <c r="BJ229" s="15"/>
      <c r="BK229" s="15"/>
      <c r="BL229" s="15"/>
      <c r="BM229" s="15"/>
      <c r="BN229" s="15"/>
      <c r="BO229" s="15"/>
      <c r="BP229" s="15"/>
      <c r="BQ229" s="242"/>
      <c r="BR229" s="15"/>
      <c r="BS229" s="15"/>
      <c r="BT229" s="15"/>
      <c r="BU229" s="15"/>
      <c r="BV229" s="15"/>
      <c r="BW229" s="15"/>
      <c r="BX229" s="15"/>
      <c r="BY229" s="15"/>
      <c r="BZ229" s="15"/>
      <c r="CA229" s="15"/>
      <c r="CB229" s="15"/>
      <c r="CC229" s="15"/>
      <c r="CD229" s="15"/>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f t="shared" si="58"/>
        <v>0</v>
      </c>
      <c r="DE229" s="1"/>
      <c r="DF229" s="1"/>
      <c r="DG229" s="1"/>
      <c r="DH229" s="1"/>
      <c r="DI229" s="1"/>
      <c r="DJ229" s="1"/>
      <c r="DK229" s="1"/>
      <c r="DL229" s="1"/>
      <c r="DM229" s="1"/>
      <c r="DN229" s="1"/>
      <c r="DO229" s="1"/>
      <c r="DP229" s="1"/>
      <c r="DQ229" s="1"/>
    </row>
    <row r="230" spans="1:121" x14ac:dyDescent="0.2">
      <c r="A230" s="855"/>
      <c r="B230" s="775"/>
      <c r="C230" s="833"/>
      <c r="D230" s="1" t="s">
        <v>1682</v>
      </c>
      <c r="E230" s="1"/>
      <c r="F230" s="1"/>
      <c r="G230" s="775"/>
      <c r="H230" s="1"/>
      <c r="I230" s="1"/>
      <c r="J230" s="1"/>
      <c r="K230" s="1"/>
      <c r="L230" s="116"/>
      <c r="M230" s="116"/>
      <c r="N230" s="116"/>
      <c r="O230" s="116"/>
      <c r="P230" s="375"/>
      <c r="Q230" s="116"/>
      <c r="R230" s="116"/>
      <c r="S230" s="116"/>
      <c r="T230" s="116"/>
      <c r="U230" s="116"/>
      <c r="V230" s="116"/>
      <c r="W230" s="116"/>
      <c r="X230" s="116"/>
      <c r="Y230" s="116"/>
      <c r="Z230" s="116"/>
      <c r="AA230" s="116"/>
      <c r="AB230" s="116"/>
      <c r="AC230" s="116"/>
      <c r="AD230" s="116"/>
      <c r="AE230" s="116"/>
      <c r="AF230" s="116"/>
      <c r="AG230" s="116"/>
      <c r="AH230" s="1"/>
      <c r="AI230" s="46"/>
      <c r="AJ230" s="46"/>
      <c r="AK230" s="46"/>
      <c r="AL230" s="46"/>
      <c r="AM230" s="46"/>
      <c r="AN230" s="46"/>
      <c r="AO230" s="46"/>
      <c r="AP230" s="46"/>
      <c r="AQ230" s="1"/>
      <c r="AR230" s="15"/>
      <c r="AS230" s="15"/>
      <c r="AT230" s="15"/>
      <c r="AU230" s="15"/>
      <c r="AV230" s="15"/>
      <c r="AW230" s="15"/>
      <c r="AX230" s="15"/>
      <c r="AY230" s="15"/>
      <c r="AZ230" s="15"/>
      <c r="BA230" s="15"/>
      <c r="BB230" s="15"/>
      <c r="BC230" s="15"/>
      <c r="BD230" s="102"/>
      <c r="BE230" s="15"/>
      <c r="BF230" s="15"/>
      <c r="BG230" s="15"/>
      <c r="BH230" s="15"/>
      <c r="BI230" s="15"/>
      <c r="BJ230" s="15"/>
      <c r="BK230" s="15"/>
      <c r="BL230" s="15"/>
      <c r="BM230" s="15"/>
      <c r="BN230" s="15"/>
      <c r="BO230" s="15"/>
      <c r="BP230" s="15"/>
      <c r="BQ230" s="242"/>
      <c r="BR230" s="15"/>
      <c r="BS230" s="15"/>
      <c r="BT230" s="15"/>
      <c r="BU230" s="15"/>
      <c r="BV230" s="15"/>
      <c r="BW230" s="15"/>
      <c r="BX230" s="15"/>
      <c r="BY230" s="15"/>
      <c r="BZ230" s="15"/>
      <c r="CA230" s="15"/>
      <c r="CB230" s="15"/>
      <c r="CC230" s="15"/>
      <c r="CD230" s="15"/>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f t="shared" si="58"/>
        <v>0</v>
      </c>
      <c r="DE230" s="1"/>
      <c r="DF230" s="1"/>
      <c r="DG230" s="1"/>
      <c r="DH230" s="1"/>
      <c r="DI230" s="1"/>
      <c r="DJ230" s="1"/>
      <c r="DK230" s="1"/>
      <c r="DL230" s="1"/>
      <c r="DM230" s="1"/>
      <c r="DN230" s="1"/>
      <c r="DO230" s="1"/>
      <c r="DP230" s="1"/>
      <c r="DQ230" s="1"/>
    </row>
    <row r="231" spans="1:121" x14ac:dyDescent="0.2">
      <c r="A231" s="855"/>
      <c r="B231" s="775"/>
      <c r="C231" s="833"/>
      <c r="D231" s="1" t="s">
        <v>1683</v>
      </c>
      <c r="E231" s="1"/>
      <c r="F231" s="1"/>
      <c r="G231" s="775"/>
      <c r="H231" s="1"/>
      <c r="I231" s="1"/>
      <c r="J231" s="1"/>
      <c r="K231" s="1"/>
      <c r="L231" s="116"/>
      <c r="M231" s="116"/>
      <c r="N231" s="116"/>
      <c r="O231" s="116"/>
      <c r="P231" s="375"/>
      <c r="Q231" s="116"/>
      <c r="R231" s="116"/>
      <c r="S231" s="116"/>
      <c r="T231" s="116"/>
      <c r="U231" s="116"/>
      <c r="V231" s="116"/>
      <c r="W231" s="116"/>
      <c r="X231" s="116"/>
      <c r="Y231" s="116"/>
      <c r="Z231" s="116"/>
      <c r="AA231" s="116"/>
      <c r="AB231" s="116"/>
      <c r="AC231" s="116"/>
      <c r="AD231" s="116"/>
      <c r="AE231" s="116"/>
      <c r="AF231" s="116"/>
      <c r="AG231" s="116"/>
      <c r="AH231" s="1"/>
      <c r="AI231" s="46"/>
      <c r="AJ231" s="46"/>
      <c r="AK231" s="46"/>
      <c r="AL231" s="46"/>
      <c r="AM231" s="46"/>
      <c r="AN231" s="46"/>
      <c r="AO231" s="46"/>
      <c r="AP231" s="46"/>
      <c r="AQ231" s="1"/>
      <c r="AR231" s="15"/>
      <c r="AS231" s="15"/>
      <c r="AT231" s="15"/>
      <c r="AU231" s="15"/>
      <c r="AV231" s="15"/>
      <c r="AW231" s="15"/>
      <c r="AX231" s="15"/>
      <c r="AY231" s="15"/>
      <c r="AZ231" s="15"/>
      <c r="BA231" s="15"/>
      <c r="BB231" s="15"/>
      <c r="BC231" s="15"/>
      <c r="BD231" s="102"/>
      <c r="BE231" s="15"/>
      <c r="BF231" s="15"/>
      <c r="BG231" s="15"/>
      <c r="BH231" s="15"/>
      <c r="BI231" s="15"/>
      <c r="BJ231" s="15"/>
      <c r="BK231" s="15"/>
      <c r="BL231" s="15"/>
      <c r="BM231" s="15"/>
      <c r="BN231" s="15"/>
      <c r="BO231" s="15"/>
      <c r="BP231" s="15"/>
      <c r="BQ231" s="242"/>
      <c r="BR231" s="15"/>
      <c r="BS231" s="15"/>
      <c r="BT231" s="15"/>
      <c r="BU231" s="15"/>
      <c r="BV231" s="15"/>
      <c r="BW231" s="15"/>
      <c r="BX231" s="15"/>
      <c r="BY231" s="15"/>
      <c r="BZ231" s="15"/>
      <c r="CA231" s="15"/>
      <c r="CB231" s="15"/>
      <c r="CC231" s="15"/>
      <c r="CD231" s="15"/>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f t="shared" si="58"/>
        <v>0</v>
      </c>
      <c r="DE231" s="1"/>
      <c r="DF231" s="1"/>
      <c r="DG231" s="1"/>
      <c r="DH231" s="1"/>
      <c r="DI231" s="1"/>
      <c r="DJ231" s="1"/>
      <c r="DK231" s="1"/>
      <c r="DL231" s="1"/>
      <c r="DM231" s="1"/>
      <c r="DN231" s="1"/>
      <c r="DO231" s="1"/>
      <c r="DP231" s="1"/>
      <c r="DQ231" s="1"/>
    </row>
    <row r="232" spans="1:121" x14ac:dyDescent="0.2">
      <c r="A232" s="855"/>
      <c r="B232" s="775"/>
      <c r="C232" s="833"/>
      <c r="D232" s="1" t="s">
        <v>1684</v>
      </c>
      <c r="E232" s="1"/>
      <c r="F232" s="1"/>
      <c r="G232" s="775"/>
      <c r="H232" s="1"/>
      <c r="I232" s="1"/>
      <c r="J232" s="1"/>
      <c r="K232" s="1"/>
      <c r="L232" s="116"/>
      <c r="M232" s="116"/>
      <c r="N232" s="116"/>
      <c r="O232" s="116"/>
      <c r="P232" s="375"/>
      <c r="Q232" s="116"/>
      <c r="R232" s="116"/>
      <c r="S232" s="116"/>
      <c r="T232" s="116"/>
      <c r="U232" s="116"/>
      <c r="V232" s="116"/>
      <c r="W232" s="116"/>
      <c r="X232" s="116"/>
      <c r="Y232" s="116"/>
      <c r="Z232" s="116"/>
      <c r="AA232" s="116"/>
      <c r="AB232" s="116"/>
      <c r="AC232" s="116"/>
      <c r="AD232" s="116"/>
      <c r="AE232" s="116"/>
      <c r="AF232" s="116"/>
      <c r="AG232" s="116"/>
      <c r="AH232" s="1"/>
      <c r="AI232" s="46"/>
      <c r="AJ232" s="46"/>
      <c r="AK232" s="46"/>
      <c r="AL232" s="46"/>
      <c r="AM232" s="46"/>
      <c r="AN232" s="46"/>
      <c r="AO232" s="46"/>
      <c r="AP232" s="46"/>
      <c r="AQ232" s="1"/>
      <c r="AR232" s="15"/>
      <c r="AS232" s="15"/>
      <c r="AT232" s="15"/>
      <c r="AU232" s="15"/>
      <c r="AV232" s="15"/>
      <c r="AW232" s="15"/>
      <c r="AX232" s="15"/>
      <c r="AY232" s="15"/>
      <c r="AZ232" s="15"/>
      <c r="BA232" s="15"/>
      <c r="BB232" s="15"/>
      <c r="BC232" s="15"/>
      <c r="BD232" s="102"/>
      <c r="BE232" s="15"/>
      <c r="BF232" s="15"/>
      <c r="BG232" s="15"/>
      <c r="BH232" s="15"/>
      <c r="BI232" s="15"/>
      <c r="BJ232" s="15"/>
      <c r="BK232" s="15"/>
      <c r="BL232" s="15"/>
      <c r="BM232" s="15"/>
      <c r="BN232" s="15"/>
      <c r="BO232" s="15"/>
      <c r="BP232" s="15"/>
      <c r="BQ232" s="242"/>
      <c r="BR232" s="15"/>
      <c r="BS232" s="15"/>
      <c r="BT232" s="15"/>
      <c r="BU232" s="15"/>
      <c r="BV232" s="15"/>
      <c r="BW232" s="15"/>
      <c r="BX232" s="15"/>
      <c r="BY232" s="15"/>
      <c r="BZ232" s="15"/>
      <c r="CA232" s="15"/>
      <c r="CB232" s="15"/>
      <c r="CC232" s="15"/>
      <c r="CD232" s="15"/>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f t="shared" si="58"/>
        <v>0</v>
      </c>
      <c r="DE232" s="1"/>
      <c r="DF232" s="1"/>
      <c r="DG232" s="1"/>
      <c r="DH232" s="1"/>
      <c r="DI232" s="1"/>
      <c r="DJ232" s="1"/>
      <c r="DK232" s="1"/>
      <c r="DL232" s="1"/>
      <c r="DM232" s="1"/>
      <c r="DN232" s="1"/>
      <c r="DO232" s="1"/>
      <c r="DP232" s="1"/>
      <c r="DQ232" s="1"/>
    </row>
    <row r="233" spans="1:121" x14ac:dyDescent="0.2">
      <c r="A233" s="855"/>
      <c r="B233" s="775"/>
      <c r="C233" s="833"/>
      <c r="D233" s="1" t="s">
        <v>1685</v>
      </c>
      <c r="E233" s="1"/>
      <c r="F233" s="1"/>
      <c r="G233" s="775"/>
      <c r="H233" s="1"/>
      <c r="I233" s="1"/>
      <c r="J233" s="1"/>
      <c r="K233" s="1"/>
      <c r="L233" s="116"/>
      <c r="M233" s="116"/>
      <c r="N233" s="116"/>
      <c r="O233" s="116"/>
      <c r="P233" s="375"/>
      <c r="Q233" s="116"/>
      <c r="R233" s="116"/>
      <c r="S233" s="116"/>
      <c r="T233" s="116"/>
      <c r="U233" s="116"/>
      <c r="V233" s="116"/>
      <c r="W233" s="116"/>
      <c r="X233" s="116"/>
      <c r="Y233" s="116"/>
      <c r="Z233" s="116"/>
      <c r="AA233" s="116"/>
      <c r="AB233" s="116"/>
      <c r="AC233" s="116"/>
      <c r="AD233" s="116"/>
      <c r="AE233" s="116"/>
      <c r="AF233" s="116"/>
      <c r="AG233" s="116"/>
      <c r="AH233" s="1"/>
      <c r="AI233" s="46"/>
      <c r="AJ233" s="46"/>
      <c r="AK233" s="46"/>
      <c r="AL233" s="46"/>
      <c r="AM233" s="46"/>
      <c r="AN233" s="46"/>
      <c r="AO233" s="46"/>
      <c r="AP233" s="46"/>
      <c r="AQ233" s="1"/>
      <c r="AR233" s="15"/>
      <c r="AS233" s="15"/>
      <c r="AT233" s="15"/>
      <c r="AU233" s="15"/>
      <c r="AV233" s="15"/>
      <c r="AW233" s="15"/>
      <c r="AX233" s="15"/>
      <c r="AY233" s="15"/>
      <c r="AZ233" s="15"/>
      <c r="BA233" s="15"/>
      <c r="BB233" s="15"/>
      <c r="BC233" s="15"/>
      <c r="BD233" s="102"/>
      <c r="BE233" s="15"/>
      <c r="BF233" s="15"/>
      <c r="BG233" s="15"/>
      <c r="BH233" s="15"/>
      <c r="BI233" s="15"/>
      <c r="BJ233" s="15"/>
      <c r="BK233" s="15"/>
      <c r="BL233" s="15"/>
      <c r="BM233" s="15"/>
      <c r="BN233" s="15"/>
      <c r="BO233" s="15"/>
      <c r="BP233" s="15"/>
      <c r="BQ233" s="242"/>
      <c r="BR233" s="15"/>
      <c r="BS233" s="15"/>
      <c r="BT233" s="15"/>
      <c r="BU233" s="15"/>
      <c r="BV233" s="15"/>
      <c r="BW233" s="15"/>
      <c r="BX233" s="15"/>
      <c r="BY233" s="15"/>
      <c r="BZ233" s="15"/>
      <c r="CA233" s="15"/>
      <c r="CB233" s="15"/>
      <c r="CC233" s="15"/>
      <c r="CD233" s="15"/>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f t="shared" si="58"/>
        <v>0</v>
      </c>
      <c r="DE233" s="1"/>
      <c r="DF233" s="1"/>
      <c r="DG233" s="1"/>
      <c r="DH233" s="1"/>
      <c r="DI233" s="1"/>
      <c r="DJ233" s="1"/>
      <c r="DK233" s="1"/>
      <c r="DL233" s="1"/>
      <c r="DM233" s="1"/>
      <c r="DN233" s="1"/>
      <c r="DO233" s="1"/>
      <c r="DP233" s="1"/>
      <c r="DQ233" s="1"/>
    </row>
    <row r="234" spans="1:121" x14ac:dyDescent="0.2">
      <c r="A234" s="855"/>
      <c r="B234" s="775"/>
      <c r="C234" s="833"/>
      <c r="D234" s="1" t="s">
        <v>1686</v>
      </c>
      <c r="E234" s="1"/>
      <c r="F234" s="1"/>
      <c r="G234" s="775"/>
      <c r="H234" s="1"/>
      <c r="I234" s="1"/>
      <c r="J234" s="1"/>
      <c r="K234" s="1"/>
      <c r="L234" s="116"/>
      <c r="M234" s="116"/>
      <c r="N234" s="116"/>
      <c r="O234" s="116"/>
      <c r="P234" s="375"/>
      <c r="Q234" s="116"/>
      <c r="R234" s="116"/>
      <c r="S234" s="116"/>
      <c r="T234" s="116"/>
      <c r="U234" s="116"/>
      <c r="V234" s="116"/>
      <c r="W234" s="116"/>
      <c r="X234" s="116"/>
      <c r="Y234" s="116"/>
      <c r="Z234" s="116"/>
      <c r="AA234" s="116"/>
      <c r="AB234" s="116"/>
      <c r="AC234" s="116"/>
      <c r="AD234" s="116"/>
      <c r="AE234" s="116"/>
      <c r="AF234" s="116"/>
      <c r="AG234" s="116"/>
      <c r="AH234" s="1"/>
      <c r="AI234" s="46"/>
      <c r="AJ234" s="46"/>
      <c r="AK234" s="46"/>
      <c r="AL234" s="46"/>
      <c r="AM234" s="46"/>
      <c r="AN234" s="46"/>
      <c r="AO234" s="46"/>
      <c r="AP234" s="46"/>
      <c r="AQ234" s="1"/>
      <c r="AR234" s="15"/>
      <c r="AS234" s="15"/>
      <c r="AT234" s="15"/>
      <c r="AU234" s="15"/>
      <c r="AV234" s="15"/>
      <c r="AW234" s="15"/>
      <c r="AX234" s="15"/>
      <c r="AY234" s="15"/>
      <c r="AZ234" s="15"/>
      <c r="BA234" s="15"/>
      <c r="BB234" s="15"/>
      <c r="BC234" s="15"/>
      <c r="BD234" s="102"/>
      <c r="BE234" s="15"/>
      <c r="BF234" s="15"/>
      <c r="BG234" s="15"/>
      <c r="BH234" s="15"/>
      <c r="BI234" s="15"/>
      <c r="BJ234" s="15"/>
      <c r="BK234" s="15"/>
      <c r="BL234" s="15"/>
      <c r="BM234" s="15"/>
      <c r="BN234" s="15"/>
      <c r="BO234" s="15"/>
      <c r="BP234" s="15"/>
      <c r="BQ234" s="242"/>
      <c r="BR234" s="15"/>
      <c r="BS234" s="15"/>
      <c r="BT234" s="15"/>
      <c r="BU234" s="15"/>
      <c r="BV234" s="15"/>
      <c r="BW234" s="15"/>
      <c r="BX234" s="15"/>
      <c r="BY234" s="15"/>
      <c r="BZ234" s="15"/>
      <c r="CA234" s="15"/>
      <c r="CB234" s="15"/>
      <c r="CC234" s="15"/>
      <c r="CD234" s="15"/>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f t="shared" si="58"/>
        <v>0</v>
      </c>
      <c r="DE234" s="1"/>
      <c r="DF234" s="1"/>
      <c r="DG234" s="1"/>
      <c r="DH234" s="1"/>
      <c r="DI234" s="1"/>
      <c r="DJ234" s="1"/>
      <c r="DK234" s="1"/>
      <c r="DL234" s="1"/>
      <c r="DM234" s="1"/>
      <c r="DN234" s="1"/>
      <c r="DO234" s="1"/>
      <c r="DP234" s="1"/>
      <c r="DQ234" s="1"/>
    </row>
    <row r="235" spans="1:121" x14ac:dyDescent="0.2">
      <c r="A235" s="855"/>
      <c r="B235" s="775"/>
      <c r="C235" s="833"/>
      <c r="D235" s="1" t="s">
        <v>1687</v>
      </c>
      <c r="E235" s="1"/>
      <c r="F235" s="1"/>
      <c r="G235" s="775"/>
      <c r="H235" s="1"/>
      <c r="I235" s="1"/>
      <c r="J235" s="1"/>
      <c r="K235" s="1"/>
      <c r="L235" s="116"/>
      <c r="M235" s="116"/>
      <c r="N235" s="116"/>
      <c r="O235" s="116"/>
      <c r="P235" s="375"/>
      <c r="Q235" s="116"/>
      <c r="R235" s="116"/>
      <c r="S235" s="116"/>
      <c r="T235" s="116"/>
      <c r="U235" s="116"/>
      <c r="V235" s="116"/>
      <c r="W235" s="116"/>
      <c r="X235" s="116"/>
      <c r="Y235" s="116"/>
      <c r="Z235" s="116"/>
      <c r="AA235" s="116"/>
      <c r="AB235" s="116"/>
      <c r="AC235" s="116"/>
      <c r="AD235" s="116"/>
      <c r="AE235" s="116"/>
      <c r="AF235" s="116"/>
      <c r="AG235" s="116"/>
      <c r="AH235" s="1"/>
      <c r="AI235" s="46"/>
      <c r="AJ235" s="46"/>
      <c r="AK235" s="46"/>
      <c r="AL235" s="46"/>
      <c r="AM235" s="46"/>
      <c r="AN235" s="46"/>
      <c r="AO235" s="46"/>
      <c r="AP235" s="46"/>
      <c r="AQ235" s="1"/>
      <c r="AR235" s="15"/>
      <c r="AS235" s="15"/>
      <c r="AT235" s="15"/>
      <c r="AU235" s="15"/>
      <c r="AV235" s="15"/>
      <c r="AW235" s="15"/>
      <c r="AX235" s="15"/>
      <c r="AY235" s="15"/>
      <c r="AZ235" s="15"/>
      <c r="BA235" s="15"/>
      <c r="BB235" s="15"/>
      <c r="BC235" s="15"/>
      <c r="BD235" s="102"/>
      <c r="BE235" s="15"/>
      <c r="BF235" s="15"/>
      <c r="BG235" s="15"/>
      <c r="BH235" s="15"/>
      <c r="BI235" s="15"/>
      <c r="BJ235" s="15"/>
      <c r="BK235" s="15"/>
      <c r="BL235" s="15"/>
      <c r="BM235" s="15"/>
      <c r="BN235" s="15"/>
      <c r="BO235" s="15"/>
      <c r="BP235" s="15"/>
      <c r="BQ235" s="242"/>
      <c r="BR235" s="15"/>
      <c r="BS235" s="15"/>
      <c r="BT235" s="15"/>
      <c r="BU235" s="15"/>
      <c r="BV235" s="15"/>
      <c r="BW235" s="15"/>
      <c r="BX235" s="15"/>
      <c r="BY235" s="15"/>
      <c r="BZ235" s="15"/>
      <c r="CA235" s="15"/>
      <c r="CB235" s="15"/>
      <c r="CC235" s="15"/>
      <c r="CD235" s="15"/>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f t="shared" si="58"/>
        <v>0</v>
      </c>
      <c r="DE235" s="1"/>
      <c r="DF235" s="1"/>
      <c r="DG235" s="1"/>
      <c r="DH235" s="1"/>
      <c r="DI235" s="1"/>
      <c r="DJ235" s="1"/>
      <c r="DK235" s="1"/>
      <c r="DL235" s="1"/>
      <c r="DM235" s="1"/>
      <c r="DN235" s="1"/>
      <c r="DO235" s="1"/>
      <c r="DP235" s="1"/>
      <c r="DQ235" s="1"/>
    </row>
    <row r="236" spans="1:121" x14ac:dyDescent="0.2">
      <c r="A236" s="855"/>
      <c r="B236" s="775"/>
      <c r="C236" s="833"/>
      <c r="D236" s="1" t="s">
        <v>1688</v>
      </c>
      <c r="E236" s="1"/>
      <c r="F236" s="1"/>
      <c r="G236" s="775"/>
      <c r="H236" s="1"/>
      <c r="I236" s="1"/>
      <c r="J236" s="1"/>
      <c r="K236" s="1"/>
      <c r="L236" s="116"/>
      <c r="M236" s="116"/>
      <c r="N236" s="116"/>
      <c r="O236" s="116"/>
      <c r="P236" s="375"/>
      <c r="Q236" s="116"/>
      <c r="R236" s="116"/>
      <c r="S236" s="116"/>
      <c r="T236" s="116"/>
      <c r="U236" s="116"/>
      <c r="V236" s="116"/>
      <c r="W236" s="116"/>
      <c r="X236" s="116"/>
      <c r="Y236" s="116"/>
      <c r="Z236" s="116"/>
      <c r="AA236" s="116"/>
      <c r="AB236" s="116"/>
      <c r="AC236" s="116"/>
      <c r="AD236" s="116"/>
      <c r="AE236" s="116"/>
      <c r="AF236" s="116"/>
      <c r="AG236" s="116"/>
      <c r="AH236" s="1"/>
      <c r="AI236" s="46"/>
      <c r="AJ236" s="46"/>
      <c r="AK236" s="46"/>
      <c r="AL236" s="46"/>
      <c r="AM236" s="46"/>
      <c r="AN236" s="46"/>
      <c r="AO236" s="46"/>
      <c r="AP236" s="46"/>
      <c r="AQ236" s="1"/>
      <c r="AR236" s="15"/>
      <c r="AS236" s="15"/>
      <c r="AT236" s="15"/>
      <c r="AU236" s="15"/>
      <c r="AV236" s="15"/>
      <c r="AW236" s="15"/>
      <c r="AX236" s="15"/>
      <c r="AY236" s="15"/>
      <c r="AZ236" s="15"/>
      <c r="BA236" s="15"/>
      <c r="BB236" s="15"/>
      <c r="BC236" s="15"/>
      <c r="BD236" s="102"/>
      <c r="BE236" s="15"/>
      <c r="BF236" s="15"/>
      <c r="BG236" s="15"/>
      <c r="BH236" s="15"/>
      <c r="BI236" s="15"/>
      <c r="BJ236" s="15"/>
      <c r="BK236" s="15"/>
      <c r="BL236" s="15"/>
      <c r="BM236" s="15"/>
      <c r="BN236" s="15"/>
      <c r="BO236" s="15"/>
      <c r="BP236" s="15"/>
      <c r="BQ236" s="242"/>
      <c r="BR236" s="15"/>
      <c r="BS236" s="15"/>
      <c r="BT236" s="15"/>
      <c r="BU236" s="15"/>
      <c r="BV236" s="15"/>
      <c r="BW236" s="15"/>
      <c r="BX236" s="15"/>
      <c r="BY236" s="15"/>
      <c r="BZ236" s="15"/>
      <c r="CA236" s="15"/>
      <c r="CB236" s="15"/>
      <c r="CC236" s="15"/>
      <c r="CD236" s="15"/>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f t="shared" si="58"/>
        <v>0</v>
      </c>
      <c r="DE236" s="1"/>
      <c r="DF236" s="1"/>
      <c r="DG236" s="1"/>
      <c r="DH236" s="1"/>
      <c r="DI236" s="1"/>
      <c r="DJ236" s="1"/>
      <c r="DK236" s="1"/>
      <c r="DL236" s="1"/>
      <c r="DM236" s="1"/>
      <c r="DN236" s="1"/>
      <c r="DO236" s="1"/>
      <c r="DP236" s="1"/>
      <c r="DQ236" s="1"/>
    </row>
    <row r="237" spans="1:121" x14ac:dyDescent="0.2">
      <c r="A237" s="855"/>
      <c r="B237" s="775"/>
      <c r="C237" s="833"/>
      <c r="D237" s="1" t="s">
        <v>1689</v>
      </c>
      <c r="E237" s="1"/>
      <c r="F237" s="1"/>
      <c r="G237" s="775"/>
      <c r="H237" s="1"/>
      <c r="I237" s="1"/>
      <c r="J237" s="1"/>
      <c r="K237" s="1"/>
      <c r="L237" s="116"/>
      <c r="M237" s="116"/>
      <c r="N237" s="116"/>
      <c r="O237" s="116"/>
      <c r="P237" s="375"/>
      <c r="Q237" s="116"/>
      <c r="R237" s="116"/>
      <c r="S237" s="116"/>
      <c r="T237" s="116"/>
      <c r="U237" s="116"/>
      <c r="V237" s="116"/>
      <c r="W237" s="116"/>
      <c r="X237" s="116"/>
      <c r="Y237" s="116"/>
      <c r="Z237" s="116"/>
      <c r="AA237" s="116"/>
      <c r="AB237" s="116"/>
      <c r="AC237" s="116"/>
      <c r="AD237" s="116"/>
      <c r="AE237" s="116"/>
      <c r="AF237" s="116"/>
      <c r="AG237" s="116"/>
      <c r="AH237" s="1"/>
      <c r="AI237" s="46"/>
      <c r="AJ237" s="46"/>
      <c r="AK237" s="46"/>
      <c r="AL237" s="46"/>
      <c r="AM237" s="46"/>
      <c r="AN237" s="46"/>
      <c r="AO237" s="46"/>
      <c r="AP237" s="46"/>
      <c r="AQ237" s="1"/>
      <c r="AR237" s="15"/>
      <c r="AS237" s="15"/>
      <c r="AT237" s="15"/>
      <c r="AU237" s="15"/>
      <c r="AV237" s="15"/>
      <c r="AW237" s="15"/>
      <c r="AX237" s="15"/>
      <c r="AY237" s="15"/>
      <c r="AZ237" s="15"/>
      <c r="BA237" s="15"/>
      <c r="BB237" s="15"/>
      <c r="BC237" s="15"/>
      <c r="BD237" s="102"/>
      <c r="BE237" s="15"/>
      <c r="BF237" s="15"/>
      <c r="BG237" s="15"/>
      <c r="BH237" s="15"/>
      <c r="BI237" s="15"/>
      <c r="BJ237" s="15"/>
      <c r="BK237" s="15"/>
      <c r="BL237" s="15"/>
      <c r="BM237" s="15"/>
      <c r="BN237" s="15"/>
      <c r="BO237" s="15"/>
      <c r="BP237" s="15"/>
      <c r="BQ237" s="242"/>
      <c r="BR237" s="15"/>
      <c r="BS237" s="15"/>
      <c r="BT237" s="15"/>
      <c r="BU237" s="15"/>
      <c r="BV237" s="15"/>
      <c r="BW237" s="15"/>
      <c r="BX237" s="15"/>
      <c r="BY237" s="15"/>
      <c r="BZ237" s="15"/>
      <c r="CA237" s="15"/>
      <c r="CB237" s="15"/>
      <c r="CC237" s="15"/>
      <c r="CD237" s="15"/>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f t="shared" si="58"/>
        <v>0</v>
      </c>
      <c r="DE237" s="1"/>
      <c r="DF237" s="1"/>
      <c r="DG237" s="1"/>
      <c r="DH237" s="1"/>
      <c r="DI237" s="1"/>
      <c r="DJ237" s="1"/>
      <c r="DK237" s="1"/>
      <c r="DL237" s="1"/>
      <c r="DM237" s="1"/>
      <c r="DN237" s="1"/>
      <c r="DO237" s="1"/>
      <c r="DP237" s="1"/>
      <c r="DQ237" s="1"/>
    </row>
    <row r="238" spans="1:121" x14ac:dyDescent="0.2">
      <c r="A238" s="855"/>
      <c r="B238" s="775"/>
      <c r="C238" s="833"/>
      <c r="D238" s="1" t="s">
        <v>1690</v>
      </c>
      <c r="E238" s="1"/>
      <c r="F238" s="1"/>
      <c r="G238" s="775"/>
      <c r="H238" s="1"/>
      <c r="I238" s="1"/>
      <c r="J238" s="1"/>
      <c r="K238" s="1"/>
      <c r="L238" s="116"/>
      <c r="M238" s="116"/>
      <c r="N238" s="116"/>
      <c r="O238" s="116"/>
      <c r="P238" s="375"/>
      <c r="Q238" s="116"/>
      <c r="R238" s="116"/>
      <c r="S238" s="116"/>
      <c r="T238" s="116"/>
      <c r="U238" s="116"/>
      <c r="V238" s="116"/>
      <c r="W238" s="116"/>
      <c r="X238" s="116"/>
      <c r="Y238" s="116"/>
      <c r="Z238" s="116"/>
      <c r="AA238" s="116"/>
      <c r="AB238" s="116"/>
      <c r="AC238" s="116"/>
      <c r="AD238" s="116"/>
      <c r="AE238" s="116"/>
      <c r="AF238" s="116"/>
      <c r="AG238" s="116"/>
      <c r="AH238" s="1"/>
      <c r="AI238" s="46"/>
      <c r="AJ238" s="46"/>
      <c r="AK238" s="46"/>
      <c r="AL238" s="46"/>
      <c r="AM238" s="46"/>
      <c r="AN238" s="46"/>
      <c r="AO238" s="46"/>
      <c r="AP238" s="46"/>
      <c r="AQ238" s="1"/>
      <c r="AR238" s="15"/>
      <c r="AS238" s="15"/>
      <c r="AT238" s="15"/>
      <c r="AU238" s="15"/>
      <c r="AV238" s="15"/>
      <c r="AW238" s="15"/>
      <c r="AX238" s="15"/>
      <c r="AY238" s="15"/>
      <c r="AZ238" s="15"/>
      <c r="BA238" s="15"/>
      <c r="BB238" s="15"/>
      <c r="BC238" s="15"/>
      <c r="BD238" s="102"/>
      <c r="BE238" s="15"/>
      <c r="BF238" s="15"/>
      <c r="BG238" s="15"/>
      <c r="BH238" s="15"/>
      <c r="BI238" s="15"/>
      <c r="BJ238" s="15"/>
      <c r="BK238" s="15"/>
      <c r="BL238" s="15"/>
      <c r="BM238" s="15"/>
      <c r="BN238" s="15"/>
      <c r="BO238" s="15"/>
      <c r="BP238" s="15"/>
      <c r="BQ238" s="242"/>
      <c r="BR238" s="15"/>
      <c r="BS238" s="15"/>
      <c r="BT238" s="15"/>
      <c r="BU238" s="15"/>
      <c r="BV238" s="15"/>
      <c r="BW238" s="15"/>
      <c r="BX238" s="15"/>
      <c r="BY238" s="15"/>
      <c r="BZ238" s="15"/>
      <c r="CA238" s="15"/>
      <c r="CB238" s="15"/>
      <c r="CC238" s="15"/>
      <c r="CD238" s="15"/>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f t="shared" si="58"/>
        <v>0</v>
      </c>
      <c r="DE238" s="1"/>
      <c r="DF238" s="1"/>
      <c r="DG238" s="1"/>
      <c r="DH238" s="1"/>
      <c r="DI238" s="1"/>
      <c r="DJ238" s="1"/>
      <c r="DK238" s="1"/>
      <c r="DL238" s="1"/>
      <c r="DM238" s="1"/>
      <c r="DN238" s="1"/>
      <c r="DO238" s="1"/>
      <c r="DP238" s="1"/>
      <c r="DQ238" s="1"/>
    </row>
    <row r="239" spans="1:121" x14ac:dyDescent="0.2">
      <c r="A239" s="855"/>
      <c r="B239" s="775"/>
      <c r="C239" s="833"/>
      <c r="D239" s="1" t="s">
        <v>1691</v>
      </c>
      <c r="E239" s="1"/>
      <c r="F239" s="1"/>
      <c r="G239" s="775"/>
      <c r="H239" s="1"/>
      <c r="I239" s="1"/>
      <c r="J239" s="1"/>
      <c r="K239" s="1"/>
      <c r="L239" s="116"/>
      <c r="M239" s="116"/>
      <c r="N239" s="116"/>
      <c r="O239" s="116"/>
      <c r="P239" s="375"/>
      <c r="Q239" s="116"/>
      <c r="R239" s="116"/>
      <c r="S239" s="116"/>
      <c r="T239" s="116"/>
      <c r="U239" s="116"/>
      <c r="V239" s="116"/>
      <c r="W239" s="116"/>
      <c r="X239" s="116"/>
      <c r="Y239" s="116"/>
      <c r="Z239" s="116"/>
      <c r="AA239" s="116"/>
      <c r="AB239" s="116"/>
      <c r="AC239" s="116"/>
      <c r="AD239" s="116"/>
      <c r="AE239" s="116"/>
      <c r="AF239" s="116"/>
      <c r="AG239" s="116"/>
      <c r="AH239" s="1"/>
      <c r="AI239" s="46"/>
      <c r="AJ239" s="46"/>
      <c r="AK239" s="46"/>
      <c r="AL239" s="46"/>
      <c r="AM239" s="46"/>
      <c r="AN239" s="46"/>
      <c r="AO239" s="46"/>
      <c r="AP239" s="46"/>
      <c r="AQ239" s="1"/>
      <c r="AR239" s="15"/>
      <c r="AS239" s="15"/>
      <c r="AT239" s="15"/>
      <c r="AU239" s="15"/>
      <c r="AV239" s="15"/>
      <c r="AW239" s="15"/>
      <c r="AX239" s="15"/>
      <c r="AY239" s="15"/>
      <c r="AZ239" s="15"/>
      <c r="BA239" s="15"/>
      <c r="BB239" s="15"/>
      <c r="BC239" s="15"/>
      <c r="BD239" s="102"/>
      <c r="BE239" s="15"/>
      <c r="BF239" s="15"/>
      <c r="BG239" s="15"/>
      <c r="BH239" s="15"/>
      <c r="BI239" s="15"/>
      <c r="BJ239" s="15"/>
      <c r="BK239" s="15"/>
      <c r="BL239" s="15"/>
      <c r="BM239" s="15"/>
      <c r="BN239" s="15"/>
      <c r="BO239" s="15"/>
      <c r="BP239" s="15"/>
      <c r="BQ239" s="242"/>
      <c r="BR239" s="15"/>
      <c r="BS239" s="15"/>
      <c r="BT239" s="15"/>
      <c r="BU239" s="15"/>
      <c r="BV239" s="15"/>
      <c r="BW239" s="15"/>
      <c r="BX239" s="15"/>
      <c r="BY239" s="15"/>
      <c r="BZ239" s="15"/>
      <c r="CA239" s="15"/>
      <c r="CB239" s="15"/>
      <c r="CC239" s="15"/>
      <c r="CD239" s="15"/>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f t="shared" si="58"/>
        <v>0</v>
      </c>
      <c r="DE239" s="1"/>
      <c r="DF239" s="1"/>
      <c r="DG239" s="1"/>
      <c r="DH239" s="1"/>
      <c r="DI239" s="1"/>
      <c r="DJ239" s="1"/>
      <c r="DK239" s="1"/>
      <c r="DL239" s="1"/>
      <c r="DM239" s="1"/>
      <c r="DN239" s="1"/>
      <c r="DO239" s="1"/>
      <c r="DP239" s="1"/>
      <c r="DQ239" s="1"/>
    </row>
    <row r="240" spans="1:121" x14ac:dyDescent="0.2">
      <c r="A240" s="855"/>
      <c r="B240" s="775"/>
      <c r="C240" s="833"/>
      <c r="D240" s="1" t="s">
        <v>1692</v>
      </c>
      <c r="E240" s="1"/>
      <c r="F240" s="1"/>
      <c r="G240" s="775"/>
      <c r="H240" s="1"/>
      <c r="I240" s="1"/>
      <c r="J240" s="1"/>
      <c r="K240" s="1"/>
      <c r="L240" s="116"/>
      <c r="M240" s="116"/>
      <c r="N240" s="116"/>
      <c r="O240" s="116"/>
      <c r="P240" s="375"/>
      <c r="Q240" s="116"/>
      <c r="R240" s="116"/>
      <c r="S240" s="116"/>
      <c r="T240" s="116"/>
      <c r="U240" s="116"/>
      <c r="V240" s="116"/>
      <c r="W240" s="116"/>
      <c r="X240" s="116"/>
      <c r="Y240" s="116"/>
      <c r="Z240" s="116"/>
      <c r="AA240" s="116"/>
      <c r="AB240" s="116"/>
      <c r="AC240" s="116"/>
      <c r="AD240" s="116"/>
      <c r="AE240" s="116"/>
      <c r="AF240" s="116"/>
      <c r="AG240" s="116"/>
      <c r="AH240" s="1"/>
      <c r="AI240" s="46"/>
      <c r="AJ240" s="46"/>
      <c r="AK240" s="46"/>
      <c r="AL240" s="46"/>
      <c r="AM240" s="46"/>
      <c r="AN240" s="46"/>
      <c r="AO240" s="46"/>
      <c r="AP240" s="46"/>
      <c r="AQ240" s="1"/>
      <c r="AR240" s="15"/>
      <c r="AS240" s="15"/>
      <c r="AT240" s="15"/>
      <c r="AU240" s="15"/>
      <c r="AV240" s="15"/>
      <c r="AW240" s="15"/>
      <c r="AX240" s="15"/>
      <c r="AY240" s="15"/>
      <c r="AZ240" s="15"/>
      <c r="BA240" s="15"/>
      <c r="BB240" s="15"/>
      <c r="BC240" s="15"/>
      <c r="BD240" s="102"/>
      <c r="BE240" s="15"/>
      <c r="BF240" s="15"/>
      <c r="BG240" s="15"/>
      <c r="BH240" s="15"/>
      <c r="BI240" s="15"/>
      <c r="BJ240" s="15"/>
      <c r="BK240" s="15"/>
      <c r="BL240" s="15"/>
      <c r="BM240" s="15"/>
      <c r="BN240" s="15"/>
      <c r="BO240" s="15"/>
      <c r="BP240" s="15"/>
      <c r="BQ240" s="242"/>
      <c r="BR240" s="15"/>
      <c r="BS240" s="15"/>
      <c r="BT240" s="15"/>
      <c r="BU240" s="15"/>
      <c r="BV240" s="15"/>
      <c r="BW240" s="15"/>
      <c r="BX240" s="15"/>
      <c r="BY240" s="15"/>
      <c r="BZ240" s="15"/>
      <c r="CA240" s="15"/>
      <c r="CB240" s="15"/>
      <c r="CC240" s="15"/>
      <c r="CD240" s="15"/>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f t="shared" si="58"/>
        <v>0</v>
      </c>
      <c r="DE240" s="1"/>
      <c r="DF240" s="1"/>
      <c r="DG240" s="1"/>
      <c r="DH240" s="1"/>
      <c r="DI240" s="1"/>
      <c r="DJ240" s="1"/>
      <c r="DK240" s="1"/>
      <c r="DL240" s="1"/>
      <c r="DM240" s="1"/>
      <c r="DN240" s="1"/>
      <c r="DO240" s="1"/>
      <c r="DP240" s="1"/>
      <c r="DQ240" s="1"/>
    </row>
    <row r="241" spans="1:121" x14ac:dyDescent="0.2">
      <c r="A241" s="855"/>
      <c r="B241" s="775"/>
      <c r="C241" s="833"/>
      <c r="D241" s="1" t="s">
        <v>1576</v>
      </c>
      <c r="E241" s="1"/>
      <c r="F241" s="1"/>
      <c r="G241" s="775"/>
      <c r="H241" s="1"/>
      <c r="I241" s="1"/>
      <c r="J241" s="1"/>
      <c r="K241" s="1"/>
      <c r="L241" s="116"/>
      <c r="M241" s="116"/>
      <c r="N241" s="116"/>
      <c r="O241" s="116"/>
      <c r="P241" s="375"/>
      <c r="Q241" s="116"/>
      <c r="R241" s="116"/>
      <c r="S241" s="116"/>
      <c r="T241" s="116"/>
      <c r="U241" s="116"/>
      <c r="V241" s="116"/>
      <c r="W241" s="116"/>
      <c r="X241" s="116"/>
      <c r="Y241" s="116"/>
      <c r="Z241" s="116"/>
      <c r="AA241" s="116"/>
      <c r="AB241" s="116"/>
      <c r="AC241" s="116"/>
      <c r="AD241" s="116"/>
      <c r="AE241" s="116"/>
      <c r="AF241" s="116"/>
      <c r="AG241" s="116"/>
      <c r="AH241" s="1"/>
      <c r="AI241" s="46"/>
      <c r="AJ241" s="46"/>
      <c r="AK241" s="46"/>
      <c r="AL241" s="46"/>
      <c r="AM241" s="46"/>
      <c r="AN241" s="46"/>
      <c r="AO241" s="46"/>
      <c r="AP241" s="46"/>
      <c r="AQ241" s="1"/>
      <c r="AR241" s="15"/>
      <c r="AS241" s="15"/>
      <c r="AT241" s="15"/>
      <c r="AU241" s="15"/>
      <c r="AV241" s="15"/>
      <c r="AW241" s="15"/>
      <c r="AX241" s="15"/>
      <c r="AY241" s="15"/>
      <c r="AZ241" s="15"/>
      <c r="BA241" s="15"/>
      <c r="BB241" s="15"/>
      <c r="BC241" s="15"/>
      <c r="BD241" s="102"/>
      <c r="BE241" s="15"/>
      <c r="BF241" s="15"/>
      <c r="BG241" s="15"/>
      <c r="BH241" s="15"/>
      <c r="BI241" s="15"/>
      <c r="BJ241" s="15"/>
      <c r="BK241" s="15"/>
      <c r="BL241" s="15"/>
      <c r="BM241" s="15"/>
      <c r="BN241" s="15"/>
      <c r="BO241" s="15"/>
      <c r="BP241" s="15"/>
      <c r="BQ241" s="242"/>
      <c r="BR241" s="15"/>
      <c r="BS241" s="15"/>
      <c r="BT241" s="15"/>
      <c r="BU241" s="15"/>
      <c r="BV241" s="15"/>
      <c r="BW241" s="15"/>
      <c r="BX241" s="15"/>
      <c r="BY241" s="15"/>
      <c r="BZ241" s="15"/>
      <c r="CA241" s="15"/>
      <c r="CB241" s="15"/>
      <c r="CC241" s="15"/>
      <c r="CD241" s="15"/>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f t="shared" si="58"/>
        <v>0</v>
      </c>
      <c r="DE241" s="1"/>
      <c r="DF241" s="1"/>
      <c r="DG241" s="1"/>
      <c r="DH241" s="1"/>
      <c r="DI241" s="1"/>
      <c r="DJ241" s="1"/>
      <c r="DK241" s="1"/>
      <c r="DL241" s="1"/>
      <c r="DM241" s="1"/>
      <c r="DN241" s="1"/>
      <c r="DO241" s="1"/>
      <c r="DP241" s="1"/>
      <c r="DQ241" s="1"/>
    </row>
    <row r="242" spans="1:121" x14ac:dyDescent="0.2">
      <c r="A242" s="855"/>
      <c r="B242" s="775"/>
      <c r="C242" s="833"/>
      <c r="D242" s="1" t="s">
        <v>1693</v>
      </c>
      <c r="E242" s="1"/>
      <c r="F242" s="1"/>
      <c r="G242" s="775"/>
      <c r="H242" s="1"/>
      <c r="I242" s="1"/>
      <c r="J242" s="1"/>
      <c r="K242" s="1"/>
      <c r="L242" s="116"/>
      <c r="M242" s="116"/>
      <c r="N242" s="116"/>
      <c r="O242" s="116"/>
      <c r="P242" s="375"/>
      <c r="Q242" s="116"/>
      <c r="R242" s="116"/>
      <c r="S242" s="116"/>
      <c r="T242" s="116"/>
      <c r="U242" s="116"/>
      <c r="V242" s="116"/>
      <c r="W242" s="116"/>
      <c r="X242" s="116"/>
      <c r="Y242" s="116"/>
      <c r="Z242" s="116"/>
      <c r="AA242" s="116"/>
      <c r="AB242" s="116"/>
      <c r="AC242" s="116"/>
      <c r="AD242" s="116"/>
      <c r="AE242" s="116"/>
      <c r="AF242" s="116"/>
      <c r="AG242" s="116"/>
      <c r="AH242" s="1"/>
      <c r="AI242" s="46"/>
      <c r="AJ242" s="46"/>
      <c r="AK242" s="46"/>
      <c r="AL242" s="46"/>
      <c r="AM242" s="46"/>
      <c r="AN242" s="46"/>
      <c r="AO242" s="46"/>
      <c r="AP242" s="46"/>
      <c r="AQ242" s="1"/>
      <c r="AR242" s="15"/>
      <c r="AS242" s="15"/>
      <c r="AT242" s="15"/>
      <c r="AU242" s="15"/>
      <c r="AV242" s="15"/>
      <c r="AW242" s="15"/>
      <c r="AX242" s="15"/>
      <c r="AY242" s="15"/>
      <c r="AZ242" s="15"/>
      <c r="BA242" s="15"/>
      <c r="BB242" s="15"/>
      <c r="BC242" s="15"/>
      <c r="BD242" s="102"/>
      <c r="BE242" s="15"/>
      <c r="BF242" s="15"/>
      <c r="BG242" s="15"/>
      <c r="BH242" s="15"/>
      <c r="BI242" s="15"/>
      <c r="BJ242" s="15"/>
      <c r="BK242" s="15"/>
      <c r="BL242" s="15"/>
      <c r="BM242" s="15"/>
      <c r="BN242" s="15"/>
      <c r="BO242" s="15"/>
      <c r="BP242" s="15"/>
      <c r="BQ242" s="242"/>
      <c r="BR242" s="15"/>
      <c r="BS242" s="15"/>
      <c r="BT242" s="15"/>
      <c r="BU242" s="15"/>
      <c r="BV242" s="15"/>
      <c r="BW242" s="15"/>
      <c r="BX242" s="15"/>
      <c r="BY242" s="15"/>
      <c r="BZ242" s="15"/>
      <c r="CA242" s="15"/>
      <c r="CB242" s="15"/>
      <c r="CC242" s="15"/>
      <c r="CD242" s="15"/>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f t="shared" ref="DD242:DD305" si="59">SUM(CR242:DC242)</f>
        <v>0</v>
      </c>
      <c r="DE242" s="1"/>
      <c r="DF242" s="1"/>
      <c r="DG242" s="1"/>
      <c r="DH242" s="1"/>
      <c r="DI242" s="1"/>
      <c r="DJ242" s="1"/>
      <c r="DK242" s="1"/>
      <c r="DL242" s="1"/>
      <c r="DM242" s="1"/>
      <c r="DN242" s="1"/>
      <c r="DO242" s="1"/>
      <c r="DP242" s="1"/>
      <c r="DQ242" s="1"/>
    </row>
    <row r="243" spans="1:121" x14ac:dyDescent="0.2">
      <c r="A243" s="855"/>
      <c r="B243" s="775"/>
      <c r="C243" s="833"/>
      <c r="D243" s="1" t="s">
        <v>617</v>
      </c>
      <c r="E243" s="1"/>
      <c r="F243" s="1"/>
      <c r="G243" s="775"/>
      <c r="H243" s="1"/>
      <c r="I243" s="1"/>
      <c r="J243" s="1"/>
      <c r="K243" s="1"/>
      <c r="L243" s="116"/>
      <c r="M243" s="116"/>
      <c r="N243" s="116"/>
      <c r="O243" s="116"/>
      <c r="P243" s="375"/>
      <c r="Q243" s="116"/>
      <c r="R243" s="116"/>
      <c r="S243" s="116"/>
      <c r="T243" s="116"/>
      <c r="U243" s="116"/>
      <c r="V243" s="116"/>
      <c r="W243" s="116"/>
      <c r="X243" s="116"/>
      <c r="Y243" s="116"/>
      <c r="Z243" s="116"/>
      <c r="AA243" s="116"/>
      <c r="AB243" s="116"/>
      <c r="AC243" s="116"/>
      <c r="AD243" s="116"/>
      <c r="AE243" s="116"/>
      <c r="AF243" s="116"/>
      <c r="AG243" s="116"/>
      <c r="AH243" s="1"/>
      <c r="AI243" s="46"/>
      <c r="AJ243" s="46"/>
      <c r="AK243" s="46"/>
      <c r="AL243" s="46"/>
      <c r="AM243" s="46"/>
      <c r="AN243" s="46"/>
      <c r="AO243" s="46"/>
      <c r="AP243" s="46"/>
      <c r="AQ243" s="1"/>
      <c r="AR243" s="15"/>
      <c r="AS243" s="15"/>
      <c r="AT243" s="15"/>
      <c r="AU243" s="15"/>
      <c r="AV243" s="15"/>
      <c r="AW243" s="15"/>
      <c r="AX243" s="15"/>
      <c r="AY243" s="15"/>
      <c r="AZ243" s="15"/>
      <c r="BA243" s="15"/>
      <c r="BB243" s="15"/>
      <c r="BC243" s="15"/>
      <c r="BD243" s="102"/>
      <c r="BE243" s="15"/>
      <c r="BF243" s="15"/>
      <c r="BG243" s="15"/>
      <c r="BH243" s="15"/>
      <c r="BI243" s="15"/>
      <c r="BJ243" s="15"/>
      <c r="BK243" s="15"/>
      <c r="BL243" s="15"/>
      <c r="BM243" s="15"/>
      <c r="BN243" s="15"/>
      <c r="BO243" s="15"/>
      <c r="BP243" s="15"/>
      <c r="BQ243" s="242"/>
      <c r="BR243" s="15"/>
      <c r="BS243" s="15"/>
      <c r="BT243" s="15"/>
      <c r="BU243" s="15"/>
      <c r="BV243" s="15"/>
      <c r="BW243" s="15"/>
      <c r="BX243" s="15"/>
      <c r="BY243" s="15"/>
      <c r="BZ243" s="15"/>
      <c r="CA243" s="15"/>
      <c r="CB243" s="15"/>
      <c r="CC243" s="15"/>
      <c r="CD243" s="15"/>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f t="shared" si="59"/>
        <v>0</v>
      </c>
      <c r="DE243" s="1"/>
      <c r="DF243" s="1"/>
      <c r="DG243" s="1"/>
      <c r="DH243" s="1"/>
      <c r="DI243" s="1"/>
      <c r="DJ243" s="1"/>
      <c r="DK243" s="1"/>
      <c r="DL243" s="1"/>
      <c r="DM243" s="1"/>
      <c r="DN243" s="1"/>
      <c r="DO243" s="1"/>
      <c r="DP243" s="1"/>
      <c r="DQ243" s="1"/>
    </row>
    <row r="244" spans="1:121" x14ac:dyDescent="0.2">
      <c r="A244" s="855"/>
      <c r="B244" s="775"/>
      <c r="C244" s="833"/>
      <c r="D244" s="1" t="s">
        <v>1694</v>
      </c>
      <c r="E244" s="1"/>
      <c r="F244" s="1"/>
      <c r="G244" s="775"/>
      <c r="H244" s="1"/>
      <c r="I244" s="1"/>
      <c r="J244" s="1"/>
      <c r="K244" s="1"/>
      <c r="L244" s="116"/>
      <c r="M244" s="116"/>
      <c r="N244" s="116"/>
      <c r="O244" s="116"/>
      <c r="P244" s="375"/>
      <c r="Q244" s="116"/>
      <c r="R244" s="116"/>
      <c r="S244" s="116"/>
      <c r="T244" s="116"/>
      <c r="U244" s="116"/>
      <c r="V244" s="116"/>
      <c r="W244" s="116"/>
      <c r="X244" s="116"/>
      <c r="Y244" s="116"/>
      <c r="Z244" s="116"/>
      <c r="AA244" s="116"/>
      <c r="AB244" s="116"/>
      <c r="AC244" s="116"/>
      <c r="AD244" s="116"/>
      <c r="AE244" s="116"/>
      <c r="AF244" s="116"/>
      <c r="AG244" s="116"/>
      <c r="AH244" s="1"/>
      <c r="AI244" s="46"/>
      <c r="AJ244" s="46"/>
      <c r="AK244" s="46"/>
      <c r="AL244" s="46"/>
      <c r="AM244" s="46"/>
      <c r="AN244" s="46"/>
      <c r="AO244" s="46"/>
      <c r="AP244" s="46"/>
      <c r="AQ244" s="1"/>
      <c r="AR244" s="15"/>
      <c r="AS244" s="15"/>
      <c r="AT244" s="15"/>
      <c r="AU244" s="15"/>
      <c r="AV244" s="15"/>
      <c r="AW244" s="15"/>
      <c r="AX244" s="15"/>
      <c r="AY244" s="15"/>
      <c r="AZ244" s="15"/>
      <c r="BA244" s="15"/>
      <c r="BB244" s="15"/>
      <c r="BC244" s="15"/>
      <c r="BD244" s="102"/>
      <c r="BE244" s="15"/>
      <c r="BF244" s="15"/>
      <c r="BG244" s="15"/>
      <c r="BH244" s="15"/>
      <c r="BI244" s="15"/>
      <c r="BJ244" s="15"/>
      <c r="BK244" s="15"/>
      <c r="BL244" s="15"/>
      <c r="BM244" s="15"/>
      <c r="BN244" s="15"/>
      <c r="BO244" s="15"/>
      <c r="BP244" s="15"/>
      <c r="BQ244" s="242"/>
      <c r="BR244" s="15"/>
      <c r="BS244" s="15"/>
      <c r="BT244" s="15"/>
      <c r="BU244" s="15"/>
      <c r="BV244" s="15"/>
      <c r="BW244" s="15"/>
      <c r="BX244" s="15"/>
      <c r="BY244" s="15"/>
      <c r="BZ244" s="15"/>
      <c r="CA244" s="15"/>
      <c r="CB244" s="15"/>
      <c r="CC244" s="15"/>
      <c r="CD244" s="15"/>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f t="shared" si="59"/>
        <v>0</v>
      </c>
      <c r="DE244" s="1"/>
      <c r="DF244" s="1"/>
      <c r="DG244" s="1"/>
      <c r="DH244" s="1"/>
      <c r="DI244" s="1"/>
      <c r="DJ244" s="1"/>
      <c r="DK244" s="1"/>
      <c r="DL244" s="1"/>
      <c r="DM244" s="1"/>
      <c r="DN244" s="1"/>
      <c r="DO244" s="1"/>
      <c r="DP244" s="1"/>
      <c r="DQ244" s="1"/>
    </row>
    <row r="245" spans="1:121" x14ac:dyDescent="0.2">
      <c r="A245" s="855"/>
      <c r="B245" s="775"/>
      <c r="C245" s="833"/>
      <c r="D245" s="1" t="s">
        <v>1607</v>
      </c>
      <c r="E245" s="1"/>
      <c r="F245" s="1"/>
      <c r="G245" s="775"/>
      <c r="H245" s="1"/>
      <c r="I245" s="1"/>
      <c r="J245" s="1"/>
      <c r="K245" s="1"/>
      <c r="L245" s="116"/>
      <c r="M245" s="116"/>
      <c r="N245" s="116"/>
      <c r="O245" s="116"/>
      <c r="P245" s="375"/>
      <c r="Q245" s="116"/>
      <c r="R245" s="116"/>
      <c r="S245" s="116"/>
      <c r="T245" s="116"/>
      <c r="U245" s="116"/>
      <c r="V245" s="116"/>
      <c r="W245" s="116"/>
      <c r="X245" s="116"/>
      <c r="Y245" s="116"/>
      <c r="Z245" s="116"/>
      <c r="AA245" s="116"/>
      <c r="AB245" s="116"/>
      <c r="AC245" s="116"/>
      <c r="AD245" s="116"/>
      <c r="AE245" s="116"/>
      <c r="AF245" s="116"/>
      <c r="AG245" s="116"/>
      <c r="AH245" s="1"/>
      <c r="AI245" s="46"/>
      <c r="AJ245" s="46"/>
      <c r="AK245" s="46"/>
      <c r="AL245" s="46"/>
      <c r="AM245" s="46"/>
      <c r="AN245" s="46"/>
      <c r="AO245" s="46"/>
      <c r="AP245" s="46"/>
      <c r="AQ245" s="1"/>
      <c r="AR245" s="15"/>
      <c r="AS245" s="15"/>
      <c r="AT245" s="15"/>
      <c r="AU245" s="15"/>
      <c r="AV245" s="15"/>
      <c r="AW245" s="15"/>
      <c r="AX245" s="15"/>
      <c r="AY245" s="15"/>
      <c r="AZ245" s="15"/>
      <c r="BA245" s="15"/>
      <c r="BB245" s="15"/>
      <c r="BC245" s="15"/>
      <c r="BD245" s="102"/>
      <c r="BE245" s="15"/>
      <c r="BF245" s="15"/>
      <c r="BG245" s="15"/>
      <c r="BH245" s="15"/>
      <c r="BI245" s="15"/>
      <c r="BJ245" s="15"/>
      <c r="BK245" s="15"/>
      <c r="BL245" s="15"/>
      <c r="BM245" s="15"/>
      <c r="BN245" s="15"/>
      <c r="BO245" s="15"/>
      <c r="BP245" s="15"/>
      <c r="BQ245" s="242"/>
      <c r="BR245" s="15"/>
      <c r="BS245" s="15"/>
      <c r="BT245" s="15"/>
      <c r="BU245" s="15"/>
      <c r="BV245" s="15"/>
      <c r="BW245" s="15"/>
      <c r="BX245" s="15"/>
      <c r="BY245" s="15"/>
      <c r="BZ245" s="15"/>
      <c r="CA245" s="15"/>
      <c r="CB245" s="15"/>
      <c r="CC245" s="15"/>
      <c r="CD245" s="15"/>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f t="shared" si="59"/>
        <v>0</v>
      </c>
      <c r="DE245" s="1"/>
      <c r="DF245" s="1"/>
      <c r="DG245" s="1"/>
      <c r="DH245" s="1"/>
      <c r="DI245" s="1"/>
      <c r="DJ245" s="1"/>
      <c r="DK245" s="1"/>
      <c r="DL245" s="1"/>
      <c r="DM245" s="1"/>
      <c r="DN245" s="1"/>
      <c r="DO245" s="1"/>
      <c r="DP245" s="1"/>
      <c r="DQ245" s="1"/>
    </row>
    <row r="246" spans="1:121" x14ac:dyDescent="0.2">
      <c r="A246" s="855"/>
      <c r="B246" s="775"/>
      <c r="C246" s="833"/>
      <c r="D246" s="1" t="s">
        <v>1695</v>
      </c>
      <c r="E246" s="1"/>
      <c r="F246" s="1"/>
      <c r="G246" s="775"/>
      <c r="H246" s="1"/>
      <c r="I246" s="1"/>
      <c r="J246" s="1"/>
      <c r="K246" s="1"/>
      <c r="L246" s="116"/>
      <c r="M246" s="116"/>
      <c r="N246" s="116"/>
      <c r="O246" s="116"/>
      <c r="P246" s="375"/>
      <c r="Q246" s="116"/>
      <c r="R246" s="116"/>
      <c r="S246" s="116"/>
      <c r="T246" s="116"/>
      <c r="U246" s="116"/>
      <c r="V246" s="116"/>
      <c r="W246" s="116"/>
      <c r="X246" s="116"/>
      <c r="Y246" s="116"/>
      <c r="Z246" s="116"/>
      <c r="AA246" s="116"/>
      <c r="AB246" s="116"/>
      <c r="AC246" s="116"/>
      <c r="AD246" s="116"/>
      <c r="AE246" s="116"/>
      <c r="AF246" s="116"/>
      <c r="AG246" s="116"/>
      <c r="AH246" s="1"/>
      <c r="AI246" s="46"/>
      <c r="AJ246" s="46"/>
      <c r="AK246" s="46"/>
      <c r="AL246" s="46"/>
      <c r="AM246" s="46"/>
      <c r="AN246" s="46"/>
      <c r="AO246" s="46"/>
      <c r="AP246" s="46"/>
      <c r="AQ246" s="1"/>
      <c r="AR246" s="15"/>
      <c r="AS246" s="15"/>
      <c r="AT246" s="15"/>
      <c r="AU246" s="15"/>
      <c r="AV246" s="15"/>
      <c r="AW246" s="15"/>
      <c r="AX246" s="15"/>
      <c r="AY246" s="15"/>
      <c r="AZ246" s="15"/>
      <c r="BA246" s="15"/>
      <c r="BB246" s="15"/>
      <c r="BC246" s="15"/>
      <c r="BD246" s="102"/>
      <c r="BE246" s="15"/>
      <c r="BF246" s="15"/>
      <c r="BG246" s="15"/>
      <c r="BH246" s="15"/>
      <c r="BI246" s="15"/>
      <c r="BJ246" s="15"/>
      <c r="BK246" s="15"/>
      <c r="BL246" s="15"/>
      <c r="BM246" s="15"/>
      <c r="BN246" s="15"/>
      <c r="BO246" s="15"/>
      <c r="BP246" s="15"/>
      <c r="BQ246" s="242"/>
      <c r="BR246" s="15"/>
      <c r="BS246" s="15"/>
      <c r="BT246" s="15"/>
      <c r="BU246" s="15"/>
      <c r="BV246" s="15"/>
      <c r="BW246" s="15"/>
      <c r="BX246" s="15"/>
      <c r="BY246" s="15"/>
      <c r="BZ246" s="15"/>
      <c r="CA246" s="15"/>
      <c r="CB246" s="15"/>
      <c r="CC246" s="15"/>
      <c r="CD246" s="15"/>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f t="shared" si="59"/>
        <v>0</v>
      </c>
      <c r="DE246" s="1"/>
      <c r="DF246" s="1"/>
      <c r="DG246" s="1"/>
      <c r="DH246" s="1"/>
      <c r="DI246" s="1"/>
      <c r="DJ246" s="1"/>
      <c r="DK246" s="1"/>
      <c r="DL246" s="1"/>
      <c r="DM246" s="1"/>
      <c r="DN246" s="1"/>
      <c r="DO246" s="1"/>
      <c r="DP246" s="1"/>
      <c r="DQ246" s="1"/>
    </row>
    <row r="247" spans="1:121" x14ac:dyDescent="0.2">
      <c r="A247" s="855"/>
      <c r="B247" s="775"/>
      <c r="C247" s="833"/>
      <c r="D247" s="1" t="s">
        <v>1696</v>
      </c>
      <c r="E247" s="1"/>
      <c r="F247" s="1"/>
      <c r="G247" s="775"/>
      <c r="H247" s="1"/>
      <c r="I247" s="1"/>
      <c r="J247" s="1"/>
      <c r="K247" s="1"/>
      <c r="L247" s="116"/>
      <c r="M247" s="116"/>
      <c r="N247" s="116"/>
      <c r="O247" s="116"/>
      <c r="P247" s="375"/>
      <c r="Q247" s="116"/>
      <c r="R247" s="116"/>
      <c r="S247" s="116"/>
      <c r="T247" s="116"/>
      <c r="U247" s="116"/>
      <c r="V247" s="116"/>
      <c r="W247" s="116"/>
      <c r="X247" s="116"/>
      <c r="Y247" s="116"/>
      <c r="Z247" s="116"/>
      <c r="AA247" s="116"/>
      <c r="AB247" s="116"/>
      <c r="AC247" s="116"/>
      <c r="AD247" s="116"/>
      <c r="AE247" s="116"/>
      <c r="AF247" s="116"/>
      <c r="AG247" s="116"/>
      <c r="AH247" s="1"/>
      <c r="AI247" s="46"/>
      <c r="AJ247" s="46"/>
      <c r="AK247" s="46"/>
      <c r="AL247" s="46"/>
      <c r="AM247" s="46"/>
      <c r="AN247" s="46"/>
      <c r="AO247" s="46"/>
      <c r="AP247" s="46"/>
      <c r="AQ247" s="1"/>
      <c r="AR247" s="15"/>
      <c r="AS247" s="15"/>
      <c r="AT247" s="15"/>
      <c r="AU247" s="15"/>
      <c r="AV247" s="15"/>
      <c r="AW247" s="15"/>
      <c r="AX247" s="15"/>
      <c r="AY247" s="15"/>
      <c r="AZ247" s="15"/>
      <c r="BA247" s="15"/>
      <c r="BB247" s="15"/>
      <c r="BC247" s="15"/>
      <c r="BD247" s="102"/>
      <c r="BE247" s="15"/>
      <c r="BF247" s="15"/>
      <c r="BG247" s="15"/>
      <c r="BH247" s="15"/>
      <c r="BI247" s="15"/>
      <c r="BJ247" s="15"/>
      <c r="BK247" s="15"/>
      <c r="BL247" s="15"/>
      <c r="BM247" s="15"/>
      <c r="BN247" s="15"/>
      <c r="BO247" s="15"/>
      <c r="BP247" s="15"/>
      <c r="BQ247" s="242"/>
      <c r="BR247" s="15"/>
      <c r="BS247" s="15"/>
      <c r="BT247" s="15"/>
      <c r="BU247" s="15"/>
      <c r="BV247" s="15"/>
      <c r="BW247" s="15"/>
      <c r="BX247" s="15"/>
      <c r="BY247" s="15"/>
      <c r="BZ247" s="15"/>
      <c r="CA247" s="15"/>
      <c r="CB247" s="15"/>
      <c r="CC247" s="15"/>
      <c r="CD247" s="15"/>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f t="shared" si="59"/>
        <v>0</v>
      </c>
      <c r="DE247" s="1"/>
      <c r="DF247" s="1"/>
      <c r="DG247" s="1"/>
      <c r="DH247" s="1"/>
      <c r="DI247" s="1"/>
      <c r="DJ247" s="1"/>
      <c r="DK247" s="1"/>
      <c r="DL247" s="1"/>
      <c r="DM247" s="1"/>
      <c r="DN247" s="1"/>
      <c r="DO247" s="1"/>
      <c r="DP247" s="1"/>
      <c r="DQ247" s="1"/>
    </row>
    <row r="248" spans="1:121" x14ac:dyDescent="0.2">
      <c r="A248" s="855"/>
      <c r="B248" s="775"/>
      <c r="C248" s="833"/>
      <c r="D248" s="1" t="s">
        <v>289</v>
      </c>
      <c r="E248" s="1"/>
      <c r="F248" s="1"/>
      <c r="G248" s="775"/>
      <c r="H248" s="1"/>
      <c r="I248" s="1"/>
      <c r="J248" s="1"/>
      <c r="K248" s="1"/>
      <c r="L248" s="116"/>
      <c r="M248" s="116"/>
      <c r="N248" s="116"/>
      <c r="O248" s="116"/>
      <c r="P248" s="375"/>
      <c r="Q248" s="116"/>
      <c r="R248" s="116"/>
      <c r="S248" s="116"/>
      <c r="T248" s="116"/>
      <c r="U248" s="116"/>
      <c r="V248" s="116"/>
      <c r="W248" s="116"/>
      <c r="X248" s="116"/>
      <c r="Y248" s="116"/>
      <c r="Z248" s="116"/>
      <c r="AA248" s="116"/>
      <c r="AB248" s="116"/>
      <c r="AC248" s="116"/>
      <c r="AD248" s="116"/>
      <c r="AE248" s="116"/>
      <c r="AF248" s="116"/>
      <c r="AG248" s="116"/>
      <c r="AH248" s="1"/>
      <c r="AI248" s="46"/>
      <c r="AJ248" s="46"/>
      <c r="AK248" s="46"/>
      <c r="AL248" s="46"/>
      <c r="AM248" s="46"/>
      <c r="AN248" s="46"/>
      <c r="AO248" s="46"/>
      <c r="AP248" s="46"/>
      <c r="AQ248" s="1"/>
      <c r="AR248" s="15"/>
      <c r="AS248" s="15"/>
      <c r="AT248" s="15"/>
      <c r="AU248" s="15"/>
      <c r="AV248" s="15"/>
      <c r="AW248" s="15"/>
      <c r="AX248" s="15"/>
      <c r="AY248" s="15"/>
      <c r="AZ248" s="15"/>
      <c r="BA248" s="15"/>
      <c r="BB248" s="15"/>
      <c r="BC248" s="15"/>
      <c r="BD248" s="102"/>
      <c r="BE248" s="15"/>
      <c r="BF248" s="15"/>
      <c r="BG248" s="15"/>
      <c r="BH248" s="15"/>
      <c r="BI248" s="15"/>
      <c r="BJ248" s="15"/>
      <c r="BK248" s="15"/>
      <c r="BL248" s="15"/>
      <c r="BM248" s="15"/>
      <c r="BN248" s="15"/>
      <c r="BO248" s="15"/>
      <c r="BP248" s="15"/>
      <c r="BQ248" s="242"/>
      <c r="BR248" s="15"/>
      <c r="BS248" s="15"/>
      <c r="BT248" s="15"/>
      <c r="BU248" s="15"/>
      <c r="BV248" s="15"/>
      <c r="BW248" s="15"/>
      <c r="BX248" s="15"/>
      <c r="BY248" s="15"/>
      <c r="BZ248" s="15"/>
      <c r="CA248" s="15"/>
      <c r="CB248" s="15"/>
      <c r="CC248" s="15"/>
      <c r="CD248" s="15"/>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f t="shared" si="59"/>
        <v>0</v>
      </c>
      <c r="DE248" s="1"/>
      <c r="DF248" s="1"/>
      <c r="DG248" s="1"/>
      <c r="DH248" s="1"/>
      <c r="DI248" s="1"/>
      <c r="DJ248" s="1"/>
      <c r="DK248" s="1"/>
      <c r="DL248" s="1"/>
      <c r="DM248" s="1"/>
      <c r="DN248" s="1"/>
      <c r="DO248" s="1"/>
      <c r="DP248" s="1"/>
      <c r="DQ248" s="1"/>
    </row>
    <row r="249" spans="1:121" x14ac:dyDescent="0.2">
      <c r="A249" s="855"/>
      <c r="B249" s="775"/>
      <c r="C249" s="833"/>
      <c r="D249" s="1" t="s">
        <v>1697</v>
      </c>
      <c r="E249" s="1"/>
      <c r="F249" s="1"/>
      <c r="G249" s="775"/>
      <c r="H249" s="1"/>
      <c r="I249" s="1"/>
      <c r="J249" s="1"/>
      <c r="K249" s="1"/>
      <c r="L249" s="116"/>
      <c r="M249" s="116"/>
      <c r="N249" s="116"/>
      <c r="O249" s="116"/>
      <c r="P249" s="375"/>
      <c r="Q249" s="116"/>
      <c r="R249" s="116"/>
      <c r="S249" s="116"/>
      <c r="T249" s="116"/>
      <c r="U249" s="116"/>
      <c r="V249" s="116"/>
      <c r="W249" s="116"/>
      <c r="X249" s="116"/>
      <c r="Y249" s="116"/>
      <c r="Z249" s="116"/>
      <c r="AA249" s="116"/>
      <c r="AB249" s="116"/>
      <c r="AC249" s="116"/>
      <c r="AD249" s="116"/>
      <c r="AE249" s="116"/>
      <c r="AF249" s="116"/>
      <c r="AG249" s="116"/>
      <c r="AH249" s="1"/>
      <c r="AI249" s="46"/>
      <c r="AJ249" s="46"/>
      <c r="AK249" s="46"/>
      <c r="AL249" s="46"/>
      <c r="AM249" s="46"/>
      <c r="AN249" s="46"/>
      <c r="AO249" s="46"/>
      <c r="AP249" s="46"/>
      <c r="AQ249" s="1"/>
      <c r="AR249" s="15"/>
      <c r="AS249" s="15"/>
      <c r="AT249" s="15"/>
      <c r="AU249" s="15"/>
      <c r="AV249" s="15"/>
      <c r="AW249" s="15"/>
      <c r="AX249" s="15"/>
      <c r="AY249" s="15"/>
      <c r="AZ249" s="15"/>
      <c r="BA249" s="15"/>
      <c r="BB249" s="15"/>
      <c r="BC249" s="15"/>
      <c r="BD249" s="102"/>
      <c r="BE249" s="15"/>
      <c r="BF249" s="15"/>
      <c r="BG249" s="15"/>
      <c r="BH249" s="15"/>
      <c r="BI249" s="15"/>
      <c r="BJ249" s="15"/>
      <c r="BK249" s="15"/>
      <c r="BL249" s="15"/>
      <c r="BM249" s="15"/>
      <c r="BN249" s="15"/>
      <c r="BO249" s="15"/>
      <c r="BP249" s="15"/>
      <c r="BQ249" s="242"/>
      <c r="BR249" s="15"/>
      <c r="BS249" s="15"/>
      <c r="BT249" s="15"/>
      <c r="BU249" s="15"/>
      <c r="BV249" s="15"/>
      <c r="BW249" s="15"/>
      <c r="BX249" s="15"/>
      <c r="BY249" s="15"/>
      <c r="BZ249" s="15"/>
      <c r="CA249" s="15"/>
      <c r="CB249" s="15"/>
      <c r="CC249" s="15"/>
      <c r="CD249" s="15"/>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f t="shared" si="59"/>
        <v>0</v>
      </c>
      <c r="DE249" s="1"/>
      <c r="DF249" s="1"/>
      <c r="DG249" s="1"/>
      <c r="DH249" s="1"/>
      <c r="DI249" s="1"/>
      <c r="DJ249" s="1"/>
      <c r="DK249" s="1"/>
      <c r="DL249" s="1"/>
      <c r="DM249" s="1"/>
      <c r="DN249" s="1"/>
      <c r="DO249" s="1"/>
      <c r="DP249" s="1"/>
      <c r="DQ249" s="1"/>
    </row>
    <row r="250" spans="1:121" x14ac:dyDescent="0.2">
      <c r="A250" s="855"/>
      <c r="B250" s="775"/>
      <c r="C250" s="833"/>
      <c r="D250" s="1" t="s">
        <v>1698</v>
      </c>
      <c r="E250" s="1"/>
      <c r="F250" s="1"/>
      <c r="G250" s="775"/>
      <c r="H250" s="1"/>
      <c r="I250" s="1"/>
      <c r="J250" s="1"/>
      <c r="K250" s="1"/>
      <c r="L250" s="116"/>
      <c r="M250" s="116"/>
      <c r="N250" s="116"/>
      <c r="O250" s="116"/>
      <c r="P250" s="375"/>
      <c r="Q250" s="116"/>
      <c r="R250" s="116"/>
      <c r="S250" s="116"/>
      <c r="T250" s="116"/>
      <c r="U250" s="116"/>
      <c r="V250" s="116"/>
      <c r="W250" s="116"/>
      <c r="X250" s="116"/>
      <c r="Y250" s="116"/>
      <c r="Z250" s="116"/>
      <c r="AA250" s="116"/>
      <c r="AB250" s="116"/>
      <c r="AC250" s="116"/>
      <c r="AD250" s="116"/>
      <c r="AE250" s="116"/>
      <c r="AF250" s="116"/>
      <c r="AG250" s="116"/>
      <c r="AH250" s="1"/>
      <c r="AI250" s="46"/>
      <c r="AJ250" s="46"/>
      <c r="AK250" s="46"/>
      <c r="AL250" s="46"/>
      <c r="AM250" s="46"/>
      <c r="AN250" s="46"/>
      <c r="AO250" s="46"/>
      <c r="AP250" s="46"/>
      <c r="AQ250" s="1"/>
      <c r="AR250" s="15"/>
      <c r="AS250" s="15"/>
      <c r="AT250" s="15"/>
      <c r="AU250" s="15"/>
      <c r="AV250" s="15"/>
      <c r="AW250" s="15"/>
      <c r="AX250" s="15"/>
      <c r="AY250" s="15"/>
      <c r="AZ250" s="15"/>
      <c r="BA250" s="15"/>
      <c r="BB250" s="15"/>
      <c r="BC250" s="15"/>
      <c r="BD250" s="102"/>
      <c r="BE250" s="15"/>
      <c r="BF250" s="15"/>
      <c r="BG250" s="15"/>
      <c r="BH250" s="15"/>
      <c r="BI250" s="15"/>
      <c r="BJ250" s="15"/>
      <c r="BK250" s="15"/>
      <c r="BL250" s="15"/>
      <c r="BM250" s="15"/>
      <c r="BN250" s="15"/>
      <c r="BO250" s="15"/>
      <c r="BP250" s="15"/>
      <c r="BQ250" s="242"/>
      <c r="BR250" s="15"/>
      <c r="BS250" s="15"/>
      <c r="BT250" s="15"/>
      <c r="BU250" s="15"/>
      <c r="BV250" s="15"/>
      <c r="BW250" s="15"/>
      <c r="BX250" s="15"/>
      <c r="BY250" s="15"/>
      <c r="BZ250" s="15"/>
      <c r="CA250" s="15"/>
      <c r="CB250" s="15"/>
      <c r="CC250" s="15"/>
      <c r="CD250" s="15"/>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f t="shared" si="59"/>
        <v>0</v>
      </c>
      <c r="DE250" s="1"/>
      <c r="DF250" s="1"/>
      <c r="DG250" s="1"/>
      <c r="DH250" s="1"/>
      <c r="DI250" s="1"/>
      <c r="DJ250" s="1"/>
      <c r="DK250" s="1"/>
      <c r="DL250" s="1"/>
      <c r="DM250" s="1"/>
      <c r="DN250" s="1"/>
      <c r="DO250" s="1"/>
      <c r="DP250" s="1"/>
      <c r="DQ250" s="1"/>
    </row>
    <row r="251" spans="1:121" x14ac:dyDescent="0.2">
      <c r="A251" s="855"/>
      <c r="B251" s="775"/>
      <c r="C251" s="833"/>
      <c r="D251" s="1" t="s">
        <v>1699</v>
      </c>
      <c r="E251" s="1"/>
      <c r="F251" s="1"/>
      <c r="G251" s="775"/>
      <c r="H251" s="1"/>
      <c r="I251" s="1"/>
      <c r="J251" s="1"/>
      <c r="K251" s="1"/>
      <c r="L251" s="116"/>
      <c r="M251" s="116"/>
      <c r="N251" s="116"/>
      <c r="O251" s="116"/>
      <c r="P251" s="375"/>
      <c r="Q251" s="116"/>
      <c r="R251" s="116"/>
      <c r="S251" s="116"/>
      <c r="T251" s="116"/>
      <c r="U251" s="116"/>
      <c r="V251" s="116"/>
      <c r="W251" s="116"/>
      <c r="X251" s="116"/>
      <c r="Y251" s="116"/>
      <c r="Z251" s="116"/>
      <c r="AA251" s="116"/>
      <c r="AB251" s="116"/>
      <c r="AC251" s="116"/>
      <c r="AD251" s="116"/>
      <c r="AE251" s="116"/>
      <c r="AF251" s="116"/>
      <c r="AG251" s="116"/>
      <c r="AH251" s="1"/>
      <c r="AI251" s="46"/>
      <c r="AJ251" s="46"/>
      <c r="AK251" s="46"/>
      <c r="AL251" s="46"/>
      <c r="AM251" s="46"/>
      <c r="AN251" s="46"/>
      <c r="AO251" s="46"/>
      <c r="AP251" s="46"/>
      <c r="AQ251" s="1"/>
      <c r="AR251" s="15"/>
      <c r="AS251" s="15"/>
      <c r="AT251" s="15"/>
      <c r="AU251" s="15"/>
      <c r="AV251" s="15"/>
      <c r="AW251" s="15"/>
      <c r="AX251" s="15"/>
      <c r="AY251" s="15"/>
      <c r="AZ251" s="15"/>
      <c r="BA251" s="15"/>
      <c r="BB251" s="15"/>
      <c r="BC251" s="15"/>
      <c r="BD251" s="102"/>
      <c r="BE251" s="15"/>
      <c r="BF251" s="15"/>
      <c r="BG251" s="15"/>
      <c r="BH251" s="15"/>
      <c r="BI251" s="15"/>
      <c r="BJ251" s="15"/>
      <c r="BK251" s="15"/>
      <c r="BL251" s="15"/>
      <c r="BM251" s="15"/>
      <c r="BN251" s="15"/>
      <c r="BO251" s="15"/>
      <c r="BP251" s="15"/>
      <c r="BQ251" s="242"/>
      <c r="BR251" s="15"/>
      <c r="BS251" s="15"/>
      <c r="BT251" s="15"/>
      <c r="BU251" s="15"/>
      <c r="BV251" s="15"/>
      <c r="BW251" s="15"/>
      <c r="BX251" s="15"/>
      <c r="BY251" s="15"/>
      <c r="BZ251" s="15"/>
      <c r="CA251" s="15"/>
      <c r="CB251" s="15"/>
      <c r="CC251" s="15"/>
      <c r="CD251" s="15"/>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f t="shared" si="59"/>
        <v>0</v>
      </c>
      <c r="DE251" s="1"/>
      <c r="DF251" s="1"/>
      <c r="DG251" s="1"/>
      <c r="DH251" s="1"/>
      <c r="DI251" s="1"/>
      <c r="DJ251" s="1"/>
      <c r="DK251" s="1"/>
      <c r="DL251" s="1"/>
      <c r="DM251" s="1"/>
      <c r="DN251" s="1"/>
      <c r="DO251" s="1"/>
      <c r="DP251" s="1"/>
      <c r="DQ251" s="1"/>
    </row>
    <row r="252" spans="1:121" x14ac:dyDescent="0.2">
      <c r="A252" s="855"/>
      <c r="B252" s="775"/>
      <c r="C252" s="833"/>
      <c r="D252" s="1" t="s">
        <v>1700</v>
      </c>
      <c r="E252" s="1"/>
      <c r="F252" s="1"/>
      <c r="G252" s="775"/>
      <c r="H252" s="1"/>
      <c r="I252" s="1"/>
      <c r="J252" s="1"/>
      <c r="K252" s="1"/>
      <c r="L252" s="116"/>
      <c r="M252" s="116"/>
      <c r="N252" s="116"/>
      <c r="O252" s="116"/>
      <c r="P252" s="375"/>
      <c r="Q252" s="116"/>
      <c r="R252" s="116"/>
      <c r="S252" s="116"/>
      <c r="T252" s="116"/>
      <c r="U252" s="116"/>
      <c r="V252" s="116"/>
      <c r="W252" s="116"/>
      <c r="X252" s="116"/>
      <c r="Y252" s="116"/>
      <c r="Z252" s="116"/>
      <c r="AA252" s="116"/>
      <c r="AB252" s="116"/>
      <c r="AC252" s="116"/>
      <c r="AD252" s="116"/>
      <c r="AE252" s="116"/>
      <c r="AF252" s="116"/>
      <c r="AG252" s="116"/>
      <c r="AH252" s="1"/>
      <c r="AI252" s="46"/>
      <c r="AJ252" s="46"/>
      <c r="AK252" s="46"/>
      <c r="AL252" s="46"/>
      <c r="AM252" s="46"/>
      <c r="AN252" s="46"/>
      <c r="AO252" s="46"/>
      <c r="AP252" s="46"/>
      <c r="AQ252" s="1"/>
      <c r="AR252" s="15"/>
      <c r="AS252" s="15"/>
      <c r="AT252" s="15"/>
      <c r="AU252" s="15"/>
      <c r="AV252" s="15"/>
      <c r="AW252" s="15"/>
      <c r="AX252" s="15"/>
      <c r="AY252" s="15"/>
      <c r="AZ252" s="15"/>
      <c r="BA252" s="15"/>
      <c r="BB252" s="15"/>
      <c r="BC252" s="15"/>
      <c r="BD252" s="102"/>
      <c r="BE252" s="15"/>
      <c r="BF252" s="15"/>
      <c r="BG252" s="15"/>
      <c r="BH252" s="15"/>
      <c r="BI252" s="15"/>
      <c r="BJ252" s="15"/>
      <c r="BK252" s="15"/>
      <c r="BL252" s="15"/>
      <c r="BM252" s="15"/>
      <c r="BN252" s="15"/>
      <c r="BO252" s="15"/>
      <c r="BP252" s="15"/>
      <c r="BQ252" s="242"/>
      <c r="BR252" s="15"/>
      <c r="BS252" s="15"/>
      <c r="BT252" s="15"/>
      <c r="BU252" s="15"/>
      <c r="BV252" s="15"/>
      <c r="BW252" s="15"/>
      <c r="BX252" s="15"/>
      <c r="BY252" s="15"/>
      <c r="BZ252" s="15"/>
      <c r="CA252" s="15"/>
      <c r="CB252" s="15"/>
      <c r="CC252" s="15"/>
      <c r="CD252" s="15"/>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f t="shared" si="59"/>
        <v>0</v>
      </c>
      <c r="DE252" s="1"/>
      <c r="DF252" s="1"/>
      <c r="DG252" s="1"/>
      <c r="DH252" s="1"/>
      <c r="DI252" s="1"/>
      <c r="DJ252" s="1"/>
      <c r="DK252" s="1"/>
      <c r="DL252" s="1"/>
      <c r="DM252" s="1"/>
      <c r="DN252" s="1"/>
      <c r="DO252" s="1"/>
      <c r="DP252" s="1"/>
      <c r="DQ252" s="1"/>
    </row>
    <row r="253" spans="1:121" x14ac:dyDescent="0.2">
      <c r="A253" s="855"/>
      <c r="B253" s="775"/>
      <c r="C253" s="833"/>
      <c r="D253" s="1" t="s">
        <v>1701</v>
      </c>
      <c r="E253" s="1"/>
      <c r="F253" s="1"/>
      <c r="G253" s="775"/>
      <c r="H253" s="1"/>
      <c r="I253" s="1"/>
      <c r="J253" s="1"/>
      <c r="K253" s="1"/>
      <c r="L253" s="116"/>
      <c r="M253" s="116"/>
      <c r="N253" s="116"/>
      <c r="O253" s="116"/>
      <c r="P253" s="375"/>
      <c r="Q253" s="116"/>
      <c r="R253" s="116"/>
      <c r="S253" s="116"/>
      <c r="T253" s="116"/>
      <c r="U253" s="116"/>
      <c r="V253" s="116"/>
      <c r="W253" s="116"/>
      <c r="X253" s="116"/>
      <c r="Y253" s="116"/>
      <c r="Z253" s="116"/>
      <c r="AA253" s="116"/>
      <c r="AB253" s="116"/>
      <c r="AC253" s="116"/>
      <c r="AD253" s="116"/>
      <c r="AE253" s="116"/>
      <c r="AF253" s="116"/>
      <c r="AG253" s="116"/>
      <c r="AH253" s="1"/>
      <c r="AI253" s="46"/>
      <c r="AJ253" s="46"/>
      <c r="AK253" s="46"/>
      <c r="AL253" s="46"/>
      <c r="AM253" s="46"/>
      <c r="AN253" s="46"/>
      <c r="AO253" s="46"/>
      <c r="AP253" s="46"/>
      <c r="AQ253" s="1"/>
      <c r="AR253" s="15"/>
      <c r="AS253" s="15"/>
      <c r="AT253" s="15"/>
      <c r="AU253" s="15"/>
      <c r="AV253" s="15"/>
      <c r="AW253" s="15"/>
      <c r="AX253" s="15"/>
      <c r="AY253" s="15"/>
      <c r="AZ253" s="15"/>
      <c r="BA253" s="15"/>
      <c r="BB253" s="15"/>
      <c r="BC253" s="15"/>
      <c r="BD253" s="102"/>
      <c r="BE253" s="15"/>
      <c r="BF253" s="15"/>
      <c r="BG253" s="15"/>
      <c r="BH253" s="15"/>
      <c r="BI253" s="15"/>
      <c r="BJ253" s="15"/>
      <c r="BK253" s="15"/>
      <c r="BL253" s="15"/>
      <c r="BM253" s="15"/>
      <c r="BN253" s="15"/>
      <c r="BO253" s="15"/>
      <c r="BP253" s="15"/>
      <c r="BQ253" s="242"/>
      <c r="BR253" s="15"/>
      <c r="BS253" s="15"/>
      <c r="BT253" s="15"/>
      <c r="BU253" s="15"/>
      <c r="BV253" s="15"/>
      <c r="BW253" s="15"/>
      <c r="BX253" s="15"/>
      <c r="BY253" s="15"/>
      <c r="BZ253" s="15"/>
      <c r="CA253" s="15"/>
      <c r="CB253" s="15"/>
      <c r="CC253" s="15"/>
      <c r="CD253" s="15"/>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f t="shared" si="59"/>
        <v>0</v>
      </c>
      <c r="DE253" s="1"/>
      <c r="DF253" s="1"/>
      <c r="DG253" s="1"/>
      <c r="DH253" s="1"/>
      <c r="DI253" s="1"/>
      <c r="DJ253" s="1"/>
      <c r="DK253" s="1"/>
      <c r="DL253" s="1"/>
      <c r="DM253" s="1"/>
      <c r="DN253" s="1"/>
      <c r="DO253" s="1"/>
      <c r="DP253" s="1"/>
      <c r="DQ253" s="1"/>
    </row>
    <row r="254" spans="1:121" x14ac:dyDescent="0.2">
      <c r="A254" s="855"/>
      <c r="B254" s="775"/>
      <c r="C254" s="833"/>
      <c r="D254" s="1" t="s">
        <v>1702</v>
      </c>
      <c r="E254" s="1"/>
      <c r="F254" s="1"/>
      <c r="G254" s="775"/>
      <c r="H254" s="1"/>
      <c r="I254" s="1"/>
      <c r="J254" s="1"/>
      <c r="K254" s="1"/>
      <c r="L254" s="116"/>
      <c r="M254" s="116"/>
      <c r="N254" s="116"/>
      <c r="O254" s="116"/>
      <c r="P254" s="375"/>
      <c r="Q254" s="116"/>
      <c r="R254" s="116"/>
      <c r="S254" s="116"/>
      <c r="T254" s="116"/>
      <c r="U254" s="116"/>
      <c r="V254" s="116"/>
      <c r="W254" s="116"/>
      <c r="X254" s="116"/>
      <c r="Y254" s="116"/>
      <c r="Z254" s="116"/>
      <c r="AA254" s="116"/>
      <c r="AB254" s="116"/>
      <c r="AC254" s="116"/>
      <c r="AD254" s="116"/>
      <c r="AE254" s="116"/>
      <c r="AF254" s="116"/>
      <c r="AG254" s="116"/>
      <c r="AH254" s="1"/>
      <c r="AI254" s="46"/>
      <c r="AJ254" s="46"/>
      <c r="AK254" s="46"/>
      <c r="AL254" s="46"/>
      <c r="AM254" s="46"/>
      <c r="AN254" s="46"/>
      <c r="AO254" s="46"/>
      <c r="AP254" s="46"/>
      <c r="AQ254" s="1"/>
      <c r="AR254" s="15"/>
      <c r="AS254" s="15"/>
      <c r="AT254" s="15"/>
      <c r="AU254" s="15"/>
      <c r="AV254" s="15"/>
      <c r="AW254" s="15"/>
      <c r="AX254" s="15"/>
      <c r="AY254" s="15"/>
      <c r="AZ254" s="15"/>
      <c r="BA254" s="15"/>
      <c r="BB254" s="15"/>
      <c r="BC254" s="15"/>
      <c r="BD254" s="102"/>
      <c r="BE254" s="15"/>
      <c r="BF254" s="15"/>
      <c r="BG254" s="15"/>
      <c r="BH254" s="15"/>
      <c r="BI254" s="15"/>
      <c r="BJ254" s="15"/>
      <c r="BK254" s="15"/>
      <c r="BL254" s="15"/>
      <c r="BM254" s="15"/>
      <c r="BN254" s="15"/>
      <c r="BO254" s="15"/>
      <c r="BP254" s="15"/>
      <c r="BQ254" s="242"/>
      <c r="BR254" s="15"/>
      <c r="BS254" s="15"/>
      <c r="BT254" s="15"/>
      <c r="BU254" s="15"/>
      <c r="BV254" s="15"/>
      <c r="BW254" s="15"/>
      <c r="BX254" s="15"/>
      <c r="BY254" s="15"/>
      <c r="BZ254" s="15"/>
      <c r="CA254" s="15"/>
      <c r="CB254" s="15"/>
      <c r="CC254" s="15"/>
      <c r="CD254" s="15"/>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f t="shared" si="59"/>
        <v>0</v>
      </c>
      <c r="DE254" s="1"/>
      <c r="DF254" s="1"/>
      <c r="DG254" s="1"/>
      <c r="DH254" s="1"/>
      <c r="DI254" s="1"/>
      <c r="DJ254" s="1"/>
      <c r="DK254" s="1"/>
      <c r="DL254" s="1"/>
      <c r="DM254" s="1"/>
      <c r="DN254" s="1"/>
      <c r="DO254" s="1"/>
      <c r="DP254" s="1"/>
      <c r="DQ254" s="1"/>
    </row>
    <row r="255" spans="1:121" x14ac:dyDescent="0.2">
      <c r="A255" s="855"/>
      <c r="B255" s="775"/>
      <c r="C255" s="833"/>
      <c r="D255" s="1" t="s">
        <v>1567</v>
      </c>
      <c r="E255" s="1"/>
      <c r="F255" s="1"/>
      <c r="G255" s="775"/>
      <c r="H255" s="1"/>
      <c r="I255" s="1"/>
      <c r="J255" s="1"/>
      <c r="K255" s="1"/>
      <c r="L255" s="116"/>
      <c r="M255" s="116"/>
      <c r="N255" s="116"/>
      <c r="O255" s="116"/>
      <c r="P255" s="375"/>
      <c r="Q255" s="116"/>
      <c r="R255" s="116"/>
      <c r="S255" s="116"/>
      <c r="T255" s="116"/>
      <c r="U255" s="116"/>
      <c r="V255" s="116"/>
      <c r="W255" s="116"/>
      <c r="X255" s="116"/>
      <c r="Y255" s="116"/>
      <c r="Z255" s="116"/>
      <c r="AA255" s="116"/>
      <c r="AB255" s="116"/>
      <c r="AC255" s="116"/>
      <c r="AD255" s="116"/>
      <c r="AE255" s="116"/>
      <c r="AF255" s="116"/>
      <c r="AG255" s="116"/>
      <c r="AH255" s="1"/>
      <c r="AI255" s="46"/>
      <c r="AJ255" s="46"/>
      <c r="AK255" s="46"/>
      <c r="AL255" s="46"/>
      <c r="AM255" s="46"/>
      <c r="AN255" s="46"/>
      <c r="AO255" s="46"/>
      <c r="AP255" s="46"/>
      <c r="AQ255" s="1"/>
      <c r="AR255" s="15"/>
      <c r="AS255" s="15"/>
      <c r="AT255" s="15"/>
      <c r="AU255" s="15"/>
      <c r="AV255" s="15"/>
      <c r="AW255" s="15"/>
      <c r="AX255" s="15"/>
      <c r="AY255" s="15"/>
      <c r="AZ255" s="15"/>
      <c r="BA255" s="15"/>
      <c r="BB255" s="15"/>
      <c r="BC255" s="15"/>
      <c r="BD255" s="102"/>
      <c r="BE255" s="15"/>
      <c r="BF255" s="15"/>
      <c r="BG255" s="15"/>
      <c r="BH255" s="15"/>
      <c r="BI255" s="15"/>
      <c r="BJ255" s="15"/>
      <c r="BK255" s="15"/>
      <c r="BL255" s="15"/>
      <c r="BM255" s="15"/>
      <c r="BN255" s="15"/>
      <c r="BO255" s="15"/>
      <c r="BP255" s="15"/>
      <c r="BQ255" s="242"/>
      <c r="BR255" s="15"/>
      <c r="BS255" s="15"/>
      <c r="BT255" s="15"/>
      <c r="BU255" s="15"/>
      <c r="BV255" s="15"/>
      <c r="BW255" s="15"/>
      <c r="BX255" s="15"/>
      <c r="BY255" s="15"/>
      <c r="BZ255" s="15"/>
      <c r="CA255" s="15"/>
      <c r="CB255" s="15"/>
      <c r="CC255" s="15"/>
      <c r="CD255" s="15"/>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f t="shared" si="59"/>
        <v>0</v>
      </c>
      <c r="DE255" s="1"/>
      <c r="DF255" s="1"/>
      <c r="DG255" s="1"/>
      <c r="DH255" s="1"/>
      <c r="DI255" s="1"/>
      <c r="DJ255" s="1"/>
      <c r="DK255" s="1"/>
      <c r="DL255" s="1"/>
      <c r="DM255" s="1"/>
      <c r="DN255" s="1"/>
      <c r="DO255" s="1"/>
      <c r="DP255" s="1"/>
      <c r="DQ255" s="1"/>
    </row>
    <row r="256" spans="1:121" x14ac:dyDescent="0.2">
      <c r="A256" s="855"/>
      <c r="B256" s="775"/>
      <c r="C256" s="833"/>
      <c r="D256" s="1" t="s">
        <v>1703</v>
      </c>
      <c r="E256" s="1"/>
      <c r="F256" s="1"/>
      <c r="G256" s="775"/>
      <c r="H256" s="1"/>
      <c r="I256" s="1"/>
      <c r="J256" s="1"/>
      <c r="K256" s="1"/>
      <c r="L256" s="116"/>
      <c r="M256" s="116"/>
      <c r="N256" s="116"/>
      <c r="O256" s="116"/>
      <c r="P256" s="375"/>
      <c r="Q256" s="116"/>
      <c r="R256" s="116"/>
      <c r="S256" s="116"/>
      <c r="T256" s="116"/>
      <c r="U256" s="116"/>
      <c r="V256" s="116"/>
      <c r="W256" s="116"/>
      <c r="X256" s="116"/>
      <c r="Y256" s="116"/>
      <c r="Z256" s="116"/>
      <c r="AA256" s="116"/>
      <c r="AB256" s="116"/>
      <c r="AC256" s="116"/>
      <c r="AD256" s="116"/>
      <c r="AE256" s="116"/>
      <c r="AF256" s="116"/>
      <c r="AG256" s="116"/>
      <c r="AH256" s="1"/>
      <c r="AI256" s="46"/>
      <c r="AJ256" s="46"/>
      <c r="AK256" s="46"/>
      <c r="AL256" s="46"/>
      <c r="AM256" s="46"/>
      <c r="AN256" s="46"/>
      <c r="AO256" s="46"/>
      <c r="AP256" s="46"/>
      <c r="AQ256" s="1"/>
      <c r="AR256" s="15"/>
      <c r="AS256" s="15"/>
      <c r="AT256" s="15"/>
      <c r="AU256" s="15"/>
      <c r="AV256" s="15"/>
      <c r="AW256" s="15"/>
      <c r="AX256" s="15"/>
      <c r="AY256" s="15"/>
      <c r="AZ256" s="15"/>
      <c r="BA256" s="15"/>
      <c r="BB256" s="15"/>
      <c r="BC256" s="15"/>
      <c r="BD256" s="102"/>
      <c r="BE256" s="15"/>
      <c r="BF256" s="15"/>
      <c r="BG256" s="15"/>
      <c r="BH256" s="15"/>
      <c r="BI256" s="15"/>
      <c r="BJ256" s="15"/>
      <c r="BK256" s="15"/>
      <c r="BL256" s="15"/>
      <c r="BM256" s="15"/>
      <c r="BN256" s="15"/>
      <c r="BO256" s="15"/>
      <c r="BP256" s="15"/>
      <c r="BQ256" s="242"/>
      <c r="BR256" s="15"/>
      <c r="BS256" s="15"/>
      <c r="BT256" s="15"/>
      <c r="BU256" s="15"/>
      <c r="BV256" s="15"/>
      <c r="BW256" s="15"/>
      <c r="BX256" s="15"/>
      <c r="BY256" s="15"/>
      <c r="BZ256" s="15"/>
      <c r="CA256" s="15"/>
      <c r="CB256" s="15"/>
      <c r="CC256" s="15"/>
      <c r="CD256" s="15"/>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f t="shared" si="59"/>
        <v>0</v>
      </c>
      <c r="DE256" s="1"/>
      <c r="DF256" s="1"/>
      <c r="DG256" s="1"/>
      <c r="DH256" s="1"/>
      <c r="DI256" s="1"/>
      <c r="DJ256" s="1"/>
      <c r="DK256" s="1"/>
      <c r="DL256" s="1"/>
      <c r="DM256" s="1"/>
      <c r="DN256" s="1"/>
      <c r="DO256" s="1"/>
      <c r="DP256" s="1"/>
      <c r="DQ256" s="1"/>
    </row>
    <row r="257" spans="1:121" x14ac:dyDescent="0.2">
      <c r="A257" s="855"/>
      <c r="B257" s="775"/>
      <c r="C257" s="833"/>
      <c r="D257" s="1" t="s">
        <v>502</v>
      </c>
      <c r="E257" s="1"/>
      <c r="F257" s="1"/>
      <c r="G257" s="775"/>
      <c r="H257" s="1"/>
      <c r="I257" s="1"/>
      <c r="J257" s="1"/>
      <c r="K257" s="1"/>
      <c r="L257" s="116"/>
      <c r="M257" s="116"/>
      <c r="N257" s="116"/>
      <c r="O257" s="116"/>
      <c r="P257" s="375"/>
      <c r="Q257" s="116"/>
      <c r="R257" s="116"/>
      <c r="S257" s="116"/>
      <c r="T257" s="116"/>
      <c r="U257" s="116"/>
      <c r="V257" s="116"/>
      <c r="W257" s="116"/>
      <c r="X257" s="116"/>
      <c r="Y257" s="116"/>
      <c r="Z257" s="116"/>
      <c r="AA257" s="116"/>
      <c r="AB257" s="116"/>
      <c r="AC257" s="116"/>
      <c r="AD257" s="116"/>
      <c r="AE257" s="116"/>
      <c r="AF257" s="116"/>
      <c r="AG257" s="116"/>
      <c r="AH257" s="1"/>
      <c r="AI257" s="46"/>
      <c r="AJ257" s="46"/>
      <c r="AK257" s="46"/>
      <c r="AL257" s="46"/>
      <c r="AM257" s="46"/>
      <c r="AN257" s="46"/>
      <c r="AO257" s="46"/>
      <c r="AP257" s="46"/>
      <c r="AQ257" s="1"/>
      <c r="AR257" s="15"/>
      <c r="AS257" s="15"/>
      <c r="AT257" s="15"/>
      <c r="AU257" s="15"/>
      <c r="AV257" s="15"/>
      <c r="AW257" s="15"/>
      <c r="AX257" s="15"/>
      <c r="AY257" s="15"/>
      <c r="AZ257" s="15"/>
      <c r="BA257" s="15"/>
      <c r="BB257" s="15"/>
      <c r="BC257" s="15"/>
      <c r="BD257" s="102"/>
      <c r="BE257" s="15"/>
      <c r="BF257" s="15"/>
      <c r="BG257" s="15"/>
      <c r="BH257" s="15"/>
      <c r="BI257" s="15"/>
      <c r="BJ257" s="15"/>
      <c r="BK257" s="15"/>
      <c r="BL257" s="15"/>
      <c r="BM257" s="15"/>
      <c r="BN257" s="15"/>
      <c r="BO257" s="15"/>
      <c r="BP257" s="15"/>
      <c r="BQ257" s="242"/>
      <c r="BR257" s="15"/>
      <c r="BS257" s="15"/>
      <c r="BT257" s="15"/>
      <c r="BU257" s="15"/>
      <c r="BV257" s="15"/>
      <c r="BW257" s="15"/>
      <c r="BX257" s="15"/>
      <c r="BY257" s="15"/>
      <c r="BZ257" s="15"/>
      <c r="CA257" s="15"/>
      <c r="CB257" s="15"/>
      <c r="CC257" s="15"/>
      <c r="CD257" s="15"/>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f t="shared" si="59"/>
        <v>0</v>
      </c>
      <c r="DE257" s="1"/>
      <c r="DF257" s="1"/>
      <c r="DG257" s="1"/>
      <c r="DH257" s="1"/>
      <c r="DI257" s="1"/>
      <c r="DJ257" s="1"/>
      <c r="DK257" s="1"/>
      <c r="DL257" s="1"/>
      <c r="DM257" s="1"/>
      <c r="DN257" s="1"/>
      <c r="DO257" s="1"/>
      <c r="DP257" s="1"/>
      <c r="DQ257" s="1"/>
    </row>
    <row r="258" spans="1:121" x14ac:dyDescent="0.2">
      <c r="A258" s="855"/>
      <c r="B258" s="775"/>
      <c r="C258" s="833"/>
      <c r="D258" s="1" t="s">
        <v>1704</v>
      </c>
      <c r="E258" s="1"/>
      <c r="F258" s="1"/>
      <c r="G258" s="775"/>
      <c r="H258" s="1"/>
      <c r="I258" s="1"/>
      <c r="J258" s="1"/>
      <c r="K258" s="1"/>
      <c r="L258" s="116"/>
      <c r="M258" s="116"/>
      <c r="N258" s="116"/>
      <c r="O258" s="116"/>
      <c r="P258" s="375"/>
      <c r="Q258" s="116"/>
      <c r="R258" s="116"/>
      <c r="S258" s="116"/>
      <c r="T258" s="116"/>
      <c r="U258" s="116"/>
      <c r="V258" s="116"/>
      <c r="W258" s="116"/>
      <c r="X258" s="116"/>
      <c r="Y258" s="116"/>
      <c r="Z258" s="116"/>
      <c r="AA258" s="116"/>
      <c r="AB258" s="116"/>
      <c r="AC258" s="116"/>
      <c r="AD258" s="116"/>
      <c r="AE258" s="116"/>
      <c r="AF258" s="116"/>
      <c r="AG258" s="116"/>
      <c r="AH258" s="1"/>
      <c r="AI258" s="46"/>
      <c r="AJ258" s="46"/>
      <c r="AK258" s="46"/>
      <c r="AL258" s="46"/>
      <c r="AM258" s="46"/>
      <c r="AN258" s="46"/>
      <c r="AO258" s="46"/>
      <c r="AP258" s="46"/>
      <c r="AQ258" s="1"/>
      <c r="AR258" s="15"/>
      <c r="AS258" s="15"/>
      <c r="AT258" s="15"/>
      <c r="AU258" s="15"/>
      <c r="AV258" s="15"/>
      <c r="AW258" s="15"/>
      <c r="AX258" s="15"/>
      <c r="AY258" s="15"/>
      <c r="AZ258" s="15"/>
      <c r="BA258" s="15"/>
      <c r="BB258" s="15"/>
      <c r="BC258" s="15"/>
      <c r="BD258" s="102"/>
      <c r="BE258" s="15"/>
      <c r="BF258" s="15"/>
      <c r="BG258" s="15"/>
      <c r="BH258" s="15"/>
      <c r="BI258" s="15"/>
      <c r="BJ258" s="15"/>
      <c r="BK258" s="15"/>
      <c r="BL258" s="15"/>
      <c r="BM258" s="15"/>
      <c r="BN258" s="15"/>
      <c r="BO258" s="15"/>
      <c r="BP258" s="15"/>
      <c r="BQ258" s="242"/>
      <c r="BR258" s="15"/>
      <c r="BS258" s="15"/>
      <c r="BT258" s="15"/>
      <c r="BU258" s="15"/>
      <c r="BV258" s="15"/>
      <c r="BW258" s="15"/>
      <c r="BX258" s="15"/>
      <c r="BY258" s="15"/>
      <c r="BZ258" s="15"/>
      <c r="CA258" s="15"/>
      <c r="CB258" s="15"/>
      <c r="CC258" s="15"/>
      <c r="CD258" s="15"/>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f t="shared" si="59"/>
        <v>0</v>
      </c>
      <c r="DE258" s="1"/>
      <c r="DF258" s="1"/>
      <c r="DG258" s="1"/>
      <c r="DH258" s="1"/>
      <c r="DI258" s="1"/>
      <c r="DJ258" s="1"/>
      <c r="DK258" s="1"/>
      <c r="DL258" s="1"/>
      <c r="DM258" s="1"/>
      <c r="DN258" s="1"/>
      <c r="DO258" s="1"/>
      <c r="DP258" s="1"/>
      <c r="DQ258" s="1"/>
    </row>
    <row r="259" spans="1:121" x14ac:dyDescent="0.2">
      <c r="A259" s="855"/>
      <c r="B259" s="775"/>
      <c r="C259" s="833"/>
      <c r="D259" s="1" t="s">
        <v>1705</v>
      </c>
      <c r="E259" s="1"/>
      <c r="F259" s="1"/>
      <c r="G259" s="775"/>
      <c r="H259" s="1"/>
      <c r="I259" s="1"/>
      <c r="J259" s="1"/>
      <c r="K259" s="1"/>
      <c r="L259" s="116"/>
      <c r="M259" s="116"/>
      <c r="N259" s="116"/>
      <c r="O259" s="116"/>
      <c r="P259" s="375"/>
      <c r="Q259" s="116"/>
      <c r="R259" s="116"/>
      <c r="S259" s="116"/>
      <c r="T259" s="116"/>
      <c r="U259" s="116"/>
      <c r="V259" s="116"/>
      <c r="W259" s="116"/>
      <c r="X259" s="116"/>
      <c r="Y259" s="116"/>
      <c r="Z259" s="116"/>
      <c r="AA259" s="116"/>
      <c r="AB259" s="116"/>
      <c r="AC259" s="116"/>
      <c r="AD259" s="116"/>
      <c r="AE259" s="116"/>
      <c r="AF259" s="116"/>
      <c r="AG259" s="116"/>
      <c r="AH259" s="1"/>
      <c r="AI259" s="46"/>
      <c r="AJ259" s="46"/>
      <c r="AK259" s="46"/>
      <c r="AL259" s="46"/>
      <c r="AM259" s="46"/>
      <c r="AN259" s="46"/>
      <c r="AO259" s="46"/>
      <c r="AP259" s="46"/>
      <c r="AQ259" s="1"/>
      <c r="AR259" s="15"/>
      <c r="AS259" s="15"/>
      <c r="AT259" s="15"/>
      <c r="AU259" s="15"/>
      <c r="AV259" s="15"/>
      <c r="AW259" s="15"/>
      <c r="AX259" s="15"/>
      <c r="AY259" s="15"/>
      <c r="AZ259" s="15"/>
      <c r="BA259" s="15"/>
      <c r="BB259" s="15"/>
      <c r="BC259" s="15"/>
      <c r="BD259" s="102"/>
      <c r="BE259" s="15"/>
      <c r="BF259" s="15"/>
      <c r="BG259" s="15"/>
      <c r="BH259" s="15"/>
      <c r="BI259" s="15"/>
      <c r="BJ259" s="15"/>
      <c r="BK259" s="15"/>
      <c r="BL259" s="15"/>
      <c r="BM259" s="15"/>
      <c r="BN259" s="15"/>
      <c r="BO259" s="15"/>
      <c r="BP259" s="15"/>
      <c r="BQ259" s="242"/>
      <c r="BR259" s="15"/>
      <c r="BS259" s="15"/>
      <c r="BT259" s="15"/>
      <c r="BU259" s="15"/>
      <c r="BV259" s="15"/>
      <c r="BW259" s="15"/>
      <c r="BX259" s="15"/>
      <c r="BY259" s="15"/>
      <c r="BZ259" s="15"/>
      <c r="CA259" s="15"/>
      <c r="CB259" s="15"/>
      <c r="CC259" s="15"/>
      <c r="CD259" s="15"/>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f t="shared" si="59"/>
        <v>0</v>
      </c>
      <c r="DE259" s="1"/>
      <c r="DF259" s="1"/>
      <c r="DG259" s="1"/>
      <c r="DH259" s="1"/>
      <c r="DI259" s="1"/>
      <c r="DJ259" s="1"/>
      <c r="DK259" s="1"/>
      <c r="DL259" s="1"/>
      <c r="DM259" s="1"/>
      <c r="DN259" s="1"/>
      <c r="DO259" s="1"/>
      <c r="DP259" s="1"/>
      <c r="DQ259" s="1"/>
    </row>
    <row r="260" spans="1:121" x14ac:dyDescent="0.2">
      <c r="A260" s="855"/>
      <c r="B260" s="775"/>
      <c r="C260" s="833"/>
      <c r="D260" s="118" t="s">
        <v>1706</v>
      </c>
      <c r="E260" s="118"/>
      <c r="F260" s="1"/>
      <c r="G260" s="775"/>
      <c r="H260" s="1"/>
      <c r="I260" s="1"/>
      <c r="J260" s="1"/>
      <c r="K260" s="1"/>
      <c r="L260" s="116"/>
      <c r="M260" s="116"/>
      <c r="N260" s="116"/>
      <c r="O260" s="116"/>
      <c r="P260" s="375"/>
      <c r="Q260" s="116"/>
      <c r="R260" s="116"/>
      <c r="S260" s="116"/>
      <c r="T260" s="116"/>
      <c r="U260" s="116"/>
      <c r="V260" s="116"/>
      <c r="W260" s="116"/>
      <c r="X260" s="116"/>
      <c r="Y260" s="116"/>
      <c r="Z260" s="116"/>
      <c r="AA260" s="116"/>
      <c r="AB260" s="116"/>
      <c r="AC260" s="116"/>
      <c r="AD260" s="116"/>
      <c r="AE260" s="116"/>
      <c r="AF260" s="116"/>
      <c r="AG260" s="116"/>
      <c r="AH260" s="1"/>
      <c r="AI260" s="46"/>
      <c r="AJ260" s="46"/>
      <c r="AK260" s="46"/>
      <c r="AL260" s="46"/>
      <c r="AM260" s="46"/>
      <c r="AN260" s="46"/>
      <c r="AO260" s="46"/>
      <c r="AP260" s="46"/>
      <c r="AQ260" s="1"/>
      <c r="AR260" s="15"/>
      <c r="AS260" s="15"/>
      <c r="AT260" s="15"/>
      <c r="AU260" s="15"/>
      <c r="AV260" s="15"/>
      <c r="AW260" s="15"/>
      <c r="AX260" s="15"/>
      <c r="AY260" s="15"/>
      <c r="AZ260" s="15"/>
      <c r="BA260" s="15"/>
      <c r="BB260" s="15"/>
      <c r="BC260" s="15"/>
      <c r="BD260" s="102"/>
      <c r="BE260" s="15"/>
      <c r="BF260" s="15"/>
      <c r="BG260" s="15"/>
      <c r="BH260" s="15"/>
      <c r="BI260" s="15"/>
      <c r="BJ260" s="15"/>
      <c r="BK260" s="15"/>
      <c r="BL260" s="15"/>
      <c r="BM260" s="15"/>
      <c r="BN260" s="15"/>
      <c r="BO260" s="15"/>
      <c r="BP260" s="15"/>
      <c r="BQ260" s="242"/>
      <c r="BR260" s="15"/>
      <c r="BS260" s="15"/>
      <c r="BT260" s="15"/>
      <c r="BU260" s="15"/>
      <c r="BV260" s="15"/>
      <c r="BW260" s="15"/>
      <c r="BX260" s="15"/>
      <c r="BY260" s="15"/>
      <c r="BZ260" s="15"/>
      <c r="CA260" s="15"/>
      <c r="CB260" s="15"/>
      <c r="CC260" s="15"/>
      <c r="CD260" s="15"/>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f t="shared" si="59"/>
        <v>0</v>
      </c>
      <c r="DE260" s="1"/>
      <c r="DF260" s="1"/>
      <c r="DG260" s="1"/>
      <c r="DH260" s="1"/>
      <c r="DI260" s="1"/>
      <c r="DJ260" s="1"/>
      <c r="DK260" s="1"/>
      <c r="DL260" s="1"/>
      <c r="DM260" s="1"/>
      <c r="DN260" s="1"/>
      <c r="DO260" s="1"/>
      <c r="DP260" s="1"/>
      <c r="DQ260" s="1"/>
    </row>
    <row r="261" spans="1:121" x14ac:dyDescent="0.2">
      <c r="A261" s="855"/>
      <c r="B261" s="775"/>
      <c r="C261" s="833"/>
      <c r="D261" s="1" t="s">
        <v>1606</v>
      </c>
      <c r="E261" s="1"/>
      <c r="F261" s="1"/>
      <c r="G261" s="775"/>
      <c r="H261" s="1"/>
      <c r="I261" s="1"/>
      <c r="J261" s="1"/>
      <c r="K261" s="1"/>
      <c r="L261" s="116"/>
      <c r="M261" s="116"/>
      <c r="N261" s="116"/>
      <c r="O261" s="116"/>
      <c r="P261" s="375"/>
      <c r="Q261" s="116"/>
      <c r="R261" s="116"/>
      <c r="S261" s="116"/>
      <c r="T261" s="116"/>
      <c r="U261" s="116"/>
      <c r="V261" s="116"/>
      <c r="W261" s="116"/>
      <c r="X261" s="116"/>
      <c r="Y261" s="116"/>
      <c r="Z261" s="116"/>
      <c r="AA261" s="116"/>
      <c r="AB261" s="116"/>
      <c r="AC261" s="116"/>
      <c r="AD261" s="116"/>
      <c r="AE261" s="116"/>
      <c r="AF261" s="116"/>
      <c r="AG261" s="116"/>
      <c r="AH261" s="1"/>
      <c r="AI261" s="46"/>
      <c r="AJ261" s="46"/>
      <c r="AK261" s="46"/>
      <c r="AL261" s="46"/>
      <c r="AM261" s="46"/>
      <c r="AN261" s="46"/>
      <c r="AO261" s="46"/>
      <c r="AP261" s="46"/>
      <c r="AQ261" s="1"/>
      <c r="AR261" s="15"/>
      <c r="AS261" s="15"/>
      <c r="AT261" s="15"/>
      <c r="AU261" s="15"/>
      <c r="AV261" s="15"/>
      <c r="AW261" s="15"/>
      <c r="AX261" s="15"/>
      <c r="AY261" s="15"/>
      <c r="AZ261" s="15"/>
      <c r="BA261" s="15"/>
      <c r="BB261" s="15"/>
      <c r="BC261" s="15"/>
      <c r="BD261" s="102"/>
      <c r="BE261" s="15"/>
      <c r="BF261" s="15"/>
      <c r="BG261" s="15"/>
      <c r="BH261" s="15"/>
      <c r="BI261" s="15"/>
      <c r="BJ261" s="15"/>
      <c r="BK261" s="15"/>
      <c r="BL261" s="15"/>
      <c r="BM261" s="15"/>
      <c r="BN261" s="15"/>
      <c r="BO261" s="15"/>
      <c r="BP261" s="15"/>
      <c r="BQ261" s="242"/>
      <c r="BR261" s="15"/>
      <c r="BS261" s="15"/>
      <c r="BT261" s="15"/>
      <c r="BU261" s="15"/>
      <c r="BV261" s="15"/>
      <c r="BW261" s="15"/>
      <c r="BX261" s="15"/>
      <c r="BY261" s="15"/>
      <c r="BZ261" s="15"/>
      <c r="CA261" s="15"/>
      <c r="CB261" s="15"/>
      <c r="CC261" s="15"/>
      <c r="CD261" s="15"/>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f t="shared" si="59"/>
        <v>0</v>
      </c>
      <c r="DE261" s="1"/>
      <c r="DF261" s="1"/>
      <c r="DG261" s="1"/>
      <c r="DH261" s="1"/>
      <c r="DI261" s="1"/>
      <c r="DJ261" s="1"/>
      <c r="DK261" s="1"/>
      <c r="DL261" s="1"/>
      <c r="DM261" s="1"/>
      <c r="DN261" s="1"/>
      <c r="DO261" s="1"/>
      <c r="DP261" s="1"/>
      <c r="DQ261" s="1"/>
    </row>
    <row r="262" spans="1:121" x14ac:dyDescent="0.2">
      <c r="A262" s="855"/>
      <c r="B262" s="775"/>
      <c r="C262" s="833"/>
      <c r="D262" s="1" t="s">
        <v>1583</v>
      </c>
      <c r="E262" s="1"/>
      <c r="F262" s="1"/>
      <c r="G262" s="775"/>
      <c r="H262" s="1"/>
      <c r="I262" s="1"/>
      <c r="J262" s="1"/>
      <c r="K262" s="1"/>
      <c r="L262" s="116"/>
      <c r="M262" s="116"/>
      <c r="N262" s="116"/>
      <c r="O262" s="116"/>
      <c r="P262" s="375"/>
      <c r="Q262" s="116"/>
      <c r="R262" s="116"/>
      <c r="S262" s="116"/>
      <c r="T262" s="116"/>
      <c r="U262" s="116"/>
      <c r="V262" s="116"/>
      <c r="W262" s="116"/>
      <c r="X262" s="116"/>
      <c r="Y262" s="116"/>
      <c r="Z262" s="116"/>
      <c r="AA262" s="116"/>
      <c r="AB262" s="116"/>
      <c r="AC262" s="116"/>
      <c r="AD262" s="116"/>
      <c r="AE262" s="116"/>
      <c r="AF262" s="116"/>
      <c r="AG262" s="116"/>
      <c r="AH262" s="1"/>
      <c r="AI262" s="46"/>
      <c r="AJ262" s="46"/>
      <c r="AK262" s="46"/>
      <c r="AL262" s="46"/>
      <c r="AM262" s="46"/>
      <c r="AN262" s="46"/>
      <c r="AO262" s="46"/>
      <c r="AP262" s="46"/>
      <c r="AQ262" s="1"/>
      <c r="AR262" s="15"/>
      <c r="AS262" s="15"/>
      <c r="AT262" s="15"/>
      <c r="AU262" s="15"/>
      <c r="AV262" s="15"/>
      <c r="AW262" s="15"/>
      <c r="AX262" s="15"/>
      <c r="AY262" s="15"/>
      <c r="AZ262" s="15"/>
      <c r="BA262" s="15"/>
      <c r="BB262" s="15"/>
      <c r="BC262" s="15"/>
      <c r="BD262" s="102"/>
      <c r="BE262" s="15"/>
      <c r="BF262" s="15"/>
      <c r="BG262" s="15"/>
      <c r="BH262" s="15"/>
      <c r="BI262" s="15"/>
      <c r="BJ262" s="15"/>
      <c r="BK262" s="15"/>
      <c r="BL262" s="15"/>
      <c r="BM262" s="15"/>
      <c r="BN262" s="15"/>
      <c r="BO262" s="15"/>
      <c r="BP262" s="15"/>
      <c r="BQ262" s="242"/>
      <c r="BR262" s="15"/>
      <c r="BS262" s="15"/>
      <c r="BT262" s="15"/>
      <c r="BU262" s="15"/>
      <c r="BV262" s="15"/>
      <c r="BW262" s="15"/>
      <c r="BX262" s="15"/>
      <c r="BY262" s="15"/>
      <c r="BZ262" s="15"/>
      <c r="CA262" s="15"/>
      <c r="CB262" s="15"/>
      <c r="CC262" s="15"/>
      <c r="CD262" s="15"/>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f t="shared" si="59"/>
        <v>0</v>
      </c>
      <c r="DE262" s="1"/>
      <c r="DF262" s="1"/>
      <c r="DG262" s="1"/>
      <c r="DH262" s="1"/>
      <c r="DI262" s="1"/>
      <c r="DJ262" s="1"/>
      <c r="DK262" s="1"/>
      <c r="DL262" s="1"/>
      <c r="DM262" s="1"/>
      <c r="DN262" s="1"/>
      <c r="DO262" s="1"/>
      <c r="DP262" s="1"/>
      <c r="DQ262" s="1"/>
    </row>
    <row r="263" spans="1:121" x14ac:dyDescent="0.2">
      <c r="A263" s="855"/>
      <c r="B263" s="775"/>
      <c r="C263" s="833"/>
      <c r="D263" s="1" t="s">
        <v>1707</v>
      </c>
      <c r="E263" s="1"/>
      <c r="F263" s="1"/>
      <c r="G263" s="775"/>
      <c r="H263" s="1"/>
      <c r="I263" s="1"/>
      <c r="J263" s="1"/>
      <c r="K263" s="1"/>
      <c r="L263" s="116"/>
      <c r="M263" s="116"/>
      <c r="N263" s="116"/>
      <c r="O263" s="116"/>
      <c r="P263" s="375"/>
      <c r="Q263" s="116"/>
      <c r="R263" s="116"/>
      <c r="S263" s="116"/>
      <c r="T263" s="116"/>
      <c r="U263" s="116"/>
      <c r="V263" s="116"/>
      <c r="W263" s="116"/>
      <c r="X263" s="116"/>
      <c r="Y263" s="116"/>
      <c r="Z263" s="116"/>
      <c r="AA263" s="116"/>
      <c r="AB263" s="116"/>
      <c r="AC263" s="116"/>
      <c r="AD263" s="116"/>
      <c r="AE263" s="116"/>
      <c r="AF263" s="116"/>
      <c r="AG263" s="116"/>
      <c r="AH263" s="1"/>
      <c r="AI263" s="46"/>
      <c r="AJ263" s="46"/>
      <c r="AK263" s="46"/>
      <c r="AL263" s="46"/>
      <c r="AM263" s="46"/>
      <c r="AN263" s="46"/>
      <c r="AO263" s="46"/>
      <c r="AP263" s="46"/>
      <c r="AQ263" s="1"/>
      <c r="AR263" s="15"/>
      <c r="AS263" s="15"/>
      <c r="AT263" s="15"/>
      <c r="AU263" s="15"/>
      <c r="AV263" s="15"/>
      <c r="AW263" s="15"/>
      <c r="AX263" s="15"/>
      <c r="AY263" s="15"/>
      <c r="AZ263" s="15"/>
      <c r="BA263" s="15"/>
      <c r="BB263" s="15"/>
      <c r="BC263" s="15"/>
      <c r="BD263" s="102"/>
      <c r="BE263" s="15"/>
      <c r="BF263" s="15"/>
      <c r="BG263" s="15"/>
      <c r="BH263" s="15"/>
      <c r="BI263" s="15"/>
      <c r="BJ263" s="15"/>
      <c r="BK263" s="15"/>
      <c r="BL263" s="15"/>
      <c r="BM263" s="15"/>
      <c r="BN263" s="15"/>
      <c r="BO263" s="15"/>
      <c r="BP263" s="15"/>
      <c r="BQ263" s="242"/>
      <c r="BR263" s="15"/>
      <c r="BS263" s="15"/>
      <c r="BT263" s="15"/>
      <c r="BU263" s="15"/>
      <c r="BV263" s="15"/>
      <c r="BW263" s="15"/>
      <c r="BX263" s="15"/>
      <c r="BY263" s="15"/>
      <c r="BZ263" s="15"/>
      <c r="CA263" s="15"/>
      <c r="CB263" s="15"/>
      <c r="CC263" s="15"/>
      <c r="CD263" s="15"/>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f t="shared" si="59"/>
        <v>0</v>
      </c>
      <c r="DE263" s="1"/>
      <c r="DF263" s="1"/>
      <c r="DG263" s="1"/>
      <c r="DH263" s="1"/>
      <c r="DI263" s="1"/>
      <c r="DJ263" s="1"/>
      <c r="DK263" s="1"/>
      <c r="DL263" s="1"/>
      <c r="DM263" s="1"/>
      <c r="DN263" s="1"/>
      <c r="DO263" s="1"/>
      <c r="DP263" s="1"/>
      <c r="DQ263" s="1"/>
    </row>
    <row r="264" spans="1:121" x14ac:dyDescent="0.2">
      <c r="A264" s="855"/>
      <c r="B264" s="775"/>
      <c r="C264" s="833"/>
      <c r="D264" s="1" t="s">
        <v>1708</v>
      </c>
      <c r="E264" s="1"/>
      <c r="F264" s="1"/>
      <c r="G264" s="775"/>
      <c r="H264" s="1"/>
      <c r="I264" s="1"/>
      <c r="J264" s="1"/>
      <c r="K264" s="1"/>
      <c r="L264" s="116"/>
      <c r="M264" s="116"/>
      <c r="N264" s="116"/>
      <c r="O264" s="116"/>
      <c r="P264" s="375"/>
      <c r="Q264" s="116"/>
      <c r="R264" s="116"/>
      <c r="S264" s="116"/>
      <c r="T264" s="116"/>
      <c r="U264" s="116"/>
      <c r="V264" s="116"/>
      <c r="W264" s="116"/>
      <c r="X264" s="116"/>
      <c r="Y264" s="116"/>
      <c r="Z264" s="116"/>
      <c r="AA264" s="116"/>
      <c r="AB264" s="116"/>
      <c r="AC264" s="116"/>
      <c r="AD264" s="116"/>
      <c r="AE264" s="116"/>
      <c r="AF264" s="116"/>
      <c r="AG264" s="116"/>
      <c r="AH264" s="1"/>
      <c r="AI264" s="46"/>
      <c r="AJ264" s="46"/>
      <c r="AK264" s="46"/>
      <c r="AL264" s="46"/>
      <c r="AM264" s="46"/>
      <c r="AN264" s="46"/>
      <c r="AO264" s="46"/>
      <c r="AP264" s="46"/>
      <c r="AQ264" s="1"/>
      <c r="AR264" s="15"/>
      <c r="AS264" s="15"/>
      <c r="AT264" s="15"/>
      <c r="AU264" s="15"/>
      <c r="AV264" s="15"/>
      <c r="AW264" s="15"/>
      <c r="AX264" s="15"/>
      <c r="AY264" s="15"/>
      <c r="AZ264" s="15"/>
      <c r="BA264" s="15"/>
      <c r="BB264" s="15"/>
      <c r="BC264" s="15"/>
      <c r="BD264" s="102"/>
      <c r="BE264" s="15"/>
      <c r="BF264" s="15"/>
      <c r="BG264" s="15"/>
      <c r="BH264" s="15"/>
      <c r="BI264" s="15"/>
      <c r="BJ264" s="15"/>
      <c r="BK264" s="15"/>
      <c r="BL264" s="15"/>
      <c r="BM264" s="15"/>
      <c r="BN264" s="15"/>
      <c r="BO264" s="15"/>
      <c r="BP264" s="15"/>
      <c r="BQ264" s="242"/>
      <c r="BR264" s="15"/>
      <c r="BS264" s="15"/>
      <c r="BT264" s="15"/>
      <c r="BU264" s="15"/>
      <c r="BV264" s="15"/>
      <c r="BW264" s="15"/>
      <c r="BX264" s="15"/>
      <c r="BY264" s="15"/>
      <c r="BZ264" s="15"/>
      <c r="CA264" s="15"/>
      <c r="CB264" s="15"/>
      <c r="CC264" s="15"/>
      <c r="CD264" s="15"/>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f t="shared" si="59"/>
        <v>0</v>
      </c>
      <c r="DE264" s="1"/>
      <c r="DF264" s="1"/>
      <c r="DG264" s="1"/>
      <c r="DH264" s="1"/>
      <c r="DI264" s="1"/>
      <c r="DJ264" s="1"/>
      <c r="DK264" s="1"/>
      <c r="DL264" s="1"/>
      <c r="DM264" s="1"/>
      <c r="DN264" s="1"/>
      <c r="DO264" s="1"/>
      <c r="DP264" s="1"/>
      <c r="DQ264" s="1"/>
    </row>
    <row r="265" spans="1:121" x14ac:dyDescent="0.2">
      <c r="A265" s="855"/>
      <c r="B265" s="775"/>
      <c r="C265" s="833"/>
      <c r="D265" s="1" t="s">
        <v>1709</v>
      </c>
      <c r="E265" s="1"/>
      <c r="F265" s="1"/>
      <c r="G265" s="775"/>
      <c r="H265" s="1"/>
      <c r="I265" s="1"/>
      <c r="J265" s="1"/>
      <c r="K265" s="1"/>
      <c r="L265" s="116"/>
      <c r="M265" s="116"/>
      <c r="N265" s="116"/>
      <c r="O265" s="116"/>
      <c r="P265" s="375"/>
      <c r="Q265" s="116"/>
      <c r="R265" s="116"/>
      <c r="S265" s="116"/>
      <c r="T265" s="116"/>
      <c r="U265" s="116"/>
      <c r="V265" s="116"/>
      <c r="W265" s="116"/>
      <c r="X265" s="116"/>
      <c r="Y265" s="116"/>
      <c r="Z265" s="116"/>
      <c r="AA265" s="116"/>
      <c r="AB265" s="116"/>
      <c r="AC265" s="116"/>
      <c r="AD265" s="116"/>
      <c r="AE265" s="116"/>
      <c r="AF265" s="116"/>
      <c r="AG265" s="116"/>
      <c r="AH265" s="1"/>
      <c r="AI265" s="46"/>
      <c r="AJ265" s="46"/>
      <c r="AK265" s="46"/>
      <c r="AL265" s="46"/>
      <c r="AM265" s="46"/>
      <c r="AN265" s="46"/>
      <c r="AO265" s="46"/>
      <c r="AP265" s="46"/>
      <c r="AQ265" s="1"/>
      <c r="AR265" s="15"/>
      <c r="AS265" s="15"/>
      <c r="AT265" s="15"/>
      <c r="AU265" s="15"/>
      <c r="AV265" s="15"/>
      <c r="AW265" s="15"/>
      <c r="AX265" s="15"/>
      <c r="AY265" s="15"/>
      <c r="AZ265" s="15"/>
      <c r="BA265" s="15"/>
      <c r="BB265" s="15"/>
      <c r="BC265" s="15"/>
      <c r="BD265" s="102"/>
      <c r="BE265" s="15"/>
      <c r="BF265" s="15"/>
      <c r="BG265" s="15"/>
      <c r="BH265" s="15"/>
      <c r="BI265" s="15"/>
      <c r="BJ265" s="15"/>
      <c r="BK265" s="15"/>
      <c r="BL265" s="15"/>
      <c r="BM265" s="15"/>
      <c r="BN265" s="15"/>
      <c r="BO265" s="15"/>
      <c r="BP265" s="15"/>
      <c r="BQ265" s="242"/>
      <c r="BR265" s="15"/>
      <c r="BS265" s="15"/>
      <c r="BT265" s="15"/>
      <c r="BU265" s="15"/>
      <c r="BV265" s="15"/>
      <c r="BW265" s="15"/>
      <c r="BX265" s="15"/>
      <c r="BY265" s="15"/>
      <c r="BZ265" s="15"/>
      <c r="CA265" s="15"/>
      <c r="CB265" s="15"/>
      <c r="CC265" s="15"/>
      <c r="CD265" s="15"/>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f t="shared" si="59"/>
        <v>0</v>
      </c>
      <c r="DE265" s="1"/>
      <c r="DF265" s="1"/>
      <c r="DG265" s="1"/>
      <c r="DH265" s="1"/>
      <c r="DI265" s="1"/>
      <c r="DJ265" s="1"/>
      <c r="DK265" s="1"/>
      <c r="DL265" s="1"/>
      <c r="DM265" s="1"/>
      <c r="DN265" s="1"/>
      <c r="DO265" s="1"/>
      <c r="DP265" s="1"/>
      <c r="DQ265" s="1"/>
    </row>
    <row r="266" spans="1:121" x14ac:dyDescent="0.2">
      <c r="A266" s="855"/>
      <c r="B266" s="775"/>
      <c r="C266" s="833"/>
      <c r="D266" s="1" t="s">
        <v>1710</v>
      </c>
      <c r="E266" s="1"/>
      <c r="F266" s="1"/>
      <c r="G266" s="775"/>
      <c r="H266" s="1"/>
      <c r="I266" s="1"/>
      <c r="J266" s="1"/>
      <c r="K266" s="1"/>
      <c r="L266" s="116"/>
      <c r="M266" s="116"/>
      <c r="N266" s="116"/>
      <c r="O266" s="116"/>
      <c r="P266" s="375"/>
      <c r="Q266" s="116"/>
      <c r="R266" s="116"/>
      <c r="S266" s="116"/>
      <c r="T266" s="116"/>
      <c r="U266" s="116"/>
      <c r="V266" s="116"/>
      <c r="W266" s="116"/>
      <c r="X266" s="116"/>
      <c r="Y266" s="116"/>
      <c r="Z266" s="116"/>
      <c r="AA266" s="116"/>
      <c r="AB266" s="116"/>
      <c r="AC266" s="116"/>
      <c r="AD266" s="116"/>
      <c r="AE266" s="116"/>
      <c r="AF266" s="116"/>
      <c r="AG266" s="116"/>
      <c r="AH266" s="1"/>
      <c r="AI266" s="46"/>
      <c r="AJ266" s="46"/>
      <c r="AK266" s="46"/>
      <c r="AL266" s="46"/>
      <c r="AM266" s="46"/>
      <c r="AN266" s="46"/>
      <c r="AO266" s="46"/>
      <c r="AP266" s="46"/>
      <c r="AQ266" s="1"/>
      <c r="AR266" s="15"/>
      <c r="AS266" s="15"/>
      <c r="AT266" s="15"/>
      <c r="AU266" s="15"/>
      <c r="AV266" s="15"/>
      <c r="AW266" s="15"/>
      <c r="AX266" s="15"/>
      <c r="AY266" s="15"/>
      <c r="AZ266" s="15"/>
      <c r="BA266" s="15"/>
      <c r="BB266" s="15"/>
      <c r="BC266" s="15"/>
      <c r="BD266" s="102"/>
      <c r="BE266" s="15"/>
      <c r="BF266" s="15"/>
      <c r="BG266" s="15"/>
      <c r="BH266" s="15"/>
      <c r="BI266" s="15"/>
      <c r="BJ266" s="15"/>
      <c r="BK266" s="15"/>
      <c r="BL266" s="15"/>
      <c r="BM266" s="15"/>
      <c r="BN266" s="15"/>
      <c r="BO266" s="15"/>
      <c r="BP266" s="15"/>
      <c r="BQ266" s="242"/>
      <c r="BR266" s="15"/>
      <c r="BS266" s="15"/>
      <c r="BT266" s="15"/>
      <c r="BU266" s="15"/>
      <c r="BV266" s="15"/>
      <c r="BW266" s="15"/>
      <c r="BX266" s="15"/>
      <c r="BY266" s="15"/>
      <c r="BZ266" s="15"/>
      <c r="CA266" s="15"/>
      <c r="CB266" s="15"/>
      <c r="CC266" s="15"/>
      <c r="CD266" s="15"/>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f t="shared" si="59"/>
        <v>0</v>
      </c>
      <c r="DE266" s="1"/>
      <c r="DF266" s="1"/>
      <c r="DG266" s="1"/>
      <c r="DH266" s="1"/>
      <c r="DI266" s="1"/>
      <c r="DJ266" s="1"/>
      <c r="DK266" s="1"/>
      <c r="DL266" s="1"/>
      <c r="DM266" s="1"/>
      <c r="DN266" s="1"/>
      <c r="DO266" s="1"/>
      <c r="DP266" s="1"/>
      <c r="DQ266" s="1"/>
    </row>
    <row r="267" spans="1:121" x14ac:dyDescent="0.2">
      <c r="A267" s="855"/>
      <c r="B267" s="775"/>
      <c r="C267" s="833"/>
      <c r="D267" s="1" t="s">
        <v>1602</v>
      </c>
      <c r="E267" s="1"/>
      <c r="F267" s="1"/>
      <c r="G267" s="775"/>
      <c r="H267" s="1"/>
      <c r="I267" s="1"/>
      <c r="J267" s="1"/>
      <c r="K267" s="1"/>
      <c r="L267" s="116"/>
      <c r="M267" s="116"/>
      <c r="N267" s="116"/>
      <c r="O267" s="116"/>
      <c r="P267" s="375"/>
      <c r="Q267" s="116"/>
      <c r="R267" s="116"/>
      <c r="S267" s="116"/>
      <c r="T267" s="116"/>
      <c r="U267" s="116"/>
      <c r="V267" s="116"/>
      <c r="W267" s="116"/>
      <c r="X267" s="116"/>
      <c r="Y267" s="116"/>
      <c r="Z267" s="116"/>
      <c r="AA267" s="116"/>
      <c r="AB267" s="116"/>
      <c r="AC267" s="116"/>
      <c r="AD267" s="116"/>
      <c r="AE267" s="116"/>
      <c r="AF267" s="116"/>
      <c r="AG267" s="116"/>
      <c r="AH267" s="1"/>
      <c r="AI267" s="46"/>
      <c r="AJ267" s="46"/>
      <c r="AK267" s="46"/>
      <c r="AL267" s="46"/>
      <c r="AM267" s="46"/>
      <c r="AN267" s="46"/>
      <c r="AO267" s="46"/>
      <c r="AP267" s="46"/>
      <c r="AQ267" s="1"/>
      <c r="AR267" s="15"/>
      <c r="AS267" s="15"/>
      <c r="AT267" s="15"/>
      <c r="AU267" s="15"/>
      <c r="AV267" s="15"/>
      <c r="AW267" s="15"/>
      <c r="AX267" s="15"/>
      <c r="AY267" s="15"/>
      <c r="AZ267" s="15"/>
      <c r="BA267" s="15"/>
      <c r="BB267" s="15"/>
      <c r="BC267" s="15"/>
      <c r="BD267" s="102"/>
      <c r="BE267" s="15"/>
      <c r="BF267" s="15"/>
      <c r="BG267" s="15"/>
      <c r="BH267" s="15"/>
      <c r="BI267" s="15"/>
      <c r="BJ267" s="15"/>
      <c r="BK267" s="15"/>
      <c r="BL267" s="15"/>
      <c r="BM267" s="15"/>
      <c r="BN267" s="15"/>
      <c r="BO267" s="15"/>
      <c r="BP267" s="15"/>
      <c r="BQ267" s="242"/>
      <c r="BR267" s="15"/>
      <c r="BS267" s="15"/>
      <c r="BT267" s="15"/>
      <c r="BU267" s="15"/>
      <c r="BV267" s="15"/>
      <c r="BW267" s="15"/>
      <c r="BX267" s="15"/>
      <c r="BY267" s="15"/>
      <c r="BZ267" s="15"/>
      <c r="CA267" s="15"/>
      <c r="CB267" s="15"/>
      <c r="CC267" s="15"/>
      <c r="CD267" s="15"/>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f t="shared" si="59"/>
        <v>0</v>
      </c>
      <c r="DE267" s="1"/>
      <c r="DF267" s="1"/>
      <c r="DG267" s="1"/>
      <c r="DH267" s="1"/>
      <c r="DI267" s="1"/>
      <c r="DJ267" s="1"/>
      <c r="DK267" s="1"/>
      <c r="DL267" s="1"/>
      <c r="DM267" s="1"/>
      <c r="DN267" s="1"/>
      <c r="DO267" s="1"/>
      <c r="DP267" s="1"/>
      <c r="DQ267" s="1"/>
    </row>
    <row r="268" spans="1:121" x14ac:dyDescent="0.2">
      <c r="A268" s="855"/>
      <c r="B268" s="775"/>
      <c r="C268" s="833"/>
      <c r="D268" s="1" t="s">
        <v>1711</v>
      </c>
      <c r="E268" s="1"/>
      <c r="F268" s="1"/>
      <c r="G268" s="775"/>
      <c r="H268" s="1"/>
      <c r="I268" s="1"/>
      <c r="J268" s="1"/>
      <c r="K268" s="1"/>
      <c r="L268" s="116"/>
      <c r="M268" s="116"/>
      <c r="N268" s="116"/>
      <c r="O268" s="116"/>
      <c r="P268" s="375"/>
      <c r="Q268" s="116"/>
      <c r="R268" s="116"/>
      <c r="S268" s="116"/>
      <c r="T268" s="116"/>
      <c r="U268" s="116"/>
      <c r="V268" s="116"/>
      <c r="W268" s="116"/>
      <c r="X268" s="116"/>
      <c r="Y268" s="116"/>
      <c r="Z268" s="116"/>
      <c r="AA268" s="116"/>
      <c r="AB268" s="116"/>
      <c r="AC268" s="116"/>
      <c r="AD268" s="116"/>
      <c r="AE268" s="116"/>
      <c r="AF268" s="116"/>
      <c r="AG268" s="116"/>
      <c r="AH268" s="1"/>
      <c r="AI268" s="46"/>
      <c r="AJ268" s="46"/>
      <c r="AK268" s="46"/>
      <c r="AL268" s="46"/>
      <c r="AM268" s="46"/>
      <c r="AN268" s="46"/>
      <c r="AO268" s="46"/>
      <c r="AP268" s="46"/>
      <c r="AQ268" s="1"/>
      <c r="AR268" s="15"/>
      <c r="AS268" s="15"/>
      <c r="AT268" s="15"/>
      <c r="AU268" s="15"/>
      <c r="AV268" s="15"/>
      <c r="AW268" s="15"/>
      <c r="AX268" s="15"/>
      <c r="AY268" s="15"/>
      <c r="AZ268" s="15"/>
      <c r="BA268" s="15"/>
      <c r="BB268" s="15"/>
      <c r="BC268" s="15"/>
      <c r="BD268" s="102"/>
      <c r="BE268" s="15"/>
      <c r="BF268" s="15"/>
      <c r="BG268" s="15"/>
      <c r="BH268" s="15"/>
      <c r="BI268" s="15"/>
      <c r="BJ268" s="15"/>
      <c r="BK268" s="15"/>
      <c r="BL268" s="15"/>
      <c r="BM268" s="15"/>
      <c r="BN268" s="15"/>
      <c r="BO268" s="15"/>
      <c r="BP268" s="15"/>
      <c r="BQ268" s="242"/>
      <c r="BR268" s="15"/>
      <c r="BS268" s="15"/>
      <c r="BT268" s="15"/>
      <c r="BU268" s="15"/>
      <c r="BV268" s="15"/>
      <c r="BW268" s="15"/>
      <c r="BX268" s="15"/>
      <c r="BY268" s="15"/>
      <c r="BZ268" s="15"/>
      <c r="CA268" s="15"/>
      <c r="CB268" s="15"/>
      <c r="CC268" s="15"/>
      <c r="CD268" s="15"/>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f t="shared" si="59"/>
        <v>0</v>
      </c>
      <c r="DE268" s="1"/>
      <c r="DF268" s="1"/>
      <c r="DG268" s="1"/>
      <c r="DH268" s="1"/>
      <c r="DI268" s="1"/>
      <c r="DJ268" s="1"/>
      <c r="DK268" s="1"/>
      <c r="DL268" s="1"/>
      <c r="DM268" s="1"/>
      <c r="DN268" s="1"/>
      <c r="DO268" s="1"/>
      <c r="DP268" s="1"/>
      <c r="DQ268" s="1"/>
    </row>
    <row r="269" spans="1:121" x14ac:dyDescent="0.2">
      <c r="A269" s="855"/>
      <c r="B269" s="775"/>
      <c r="C269" s="833"/>
      <c r="D269" s="1" t="s">
        <v>1712</v>
      </c>
      <c r="E269" s="1"/>
      <c r="F269" s="1"/>
      <c r="G269" s="775"/>
      <c r="H269" s="1"/>
      <c r="I269" s="1"/>
      <c r="J269" s="1"/>
      <c r="K269" s="1"/>
      <c r="L269" s="116"/>
      <c r="M269" s="116"/>
      <c r="N269" s="116"/>
      <c r="O269" s="116"/>
      <c r="P269" s="375"/>
      <c r="Q269" s="116"/>
      <c r="R269" s="116"/>
      <c r="S269" s="116"/>
      <c r="T269" s="116"/>
      <c r="U269" s="116"/>
      <c r="V269" s="116"/>
      <c r="W269" s="116"/>
      <c r="X269" s="116"/>
      <c r="Y269" s="116"/>
      <c r="Z269" s="116"/>
      <c r="AA269" s="116"/>
      <c r="AB269" s="116"/>
      <c r="AC269" s="116"/>
      <c r="AD269" s="116"/>
      <c r="AE269" s="116"/>
      <c r="AF269" s="116"/>
      <c r="AG269" s="116"/>
      <c r="AH269" s="1"/>
      <c r="AI269" s="46"/>
      <c r="AJ269" s="46"/>
      <c r="AK269" s="46"/>
      <c r="AL269" s="46"/>
      <c r="AM269" s="46"/>
      <c r="AN269" s="46"/>
      <c r="AO269" s="46"/>
      <c r="AP269" s="46"/>
      <c r="AQ269" s="1"/>
      <c r="AR269" s="15"/>
      <c r="AS269" s="15"/>
      <c r="AT269" s="15"/>
      <c r="AU269" s="15"/>
      <c r="AV269" s="15"/>
      <c r="AW269" s="15"/>
      <c r="AX269" s="15"/>
      <c r="AY269" s="15"/>
      <c r="AZ269" s="15"/>
      <c r="BA269" s="15"/>
      <c r="BB269" s="15"/>
      <c r="BC269" s="15"/>
      <c r="BD269" s="102"/>
      <c r="BE269" s="15"/>
      <c r="BF269" s="15"/>
      <c r="BG269" s="15"/>
      <c r="BH269" s="15"/>
      <c r="BI269" s="15"/>
      <c r="BJ269" s="15"/>
      <c r="BK269" s="15"/>
      <c r="BL269" s="15"/>
      <c r="BM269" s="15"/>
      <c r="BN269" s="15"/>
      <c r="BO269" s="15"/>
      <c r="BP269" s="15"/>
      <c r="BQ269" s="242"/>
      <c r="BR269" s="15"/>
      <c r="BS269" s="15"/>
      <c r="BT269" s="15"/>
      <c r="BU269" s="15"/>
      <c r="BV269" s="15"/>
      <c r="BW269" s="15"/>
      <c r="BX269" s="15"/>
      <c r="BY269" s="15"/>
      <c r="BZ269" s="15"/>
      <c r="CA269" s="15"/>
      <c r="CB269" s="15"/>
      <c r="CC269" s="15"/>
      <c r="CD269" s="15"/>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f t="shared" si="59"/>
        <v>0</v>
      </c>
      <c r="DE269" s="1"/>
      <c r="DF269" s="1"/>
      <c r="DG269" s="1"/>
      <c r="DH269" s="1"/>
      <c r="DI269" s="1"/>
      <c r="DJ269" s="1"/>
      <c r="DK269" s="1"/>
      <c r="DL269" s="1"/>
      <c r="DM269" s="1"/>
      <c r="DN269" s="1"/>
      <c r="DO269" s="1"/>
      <c r="DP269" s="1"/>
      <c r="DQ269" s="1"/>
    </row>
    <row r="270" spans="1:121" x14ac:dyDescent="0.2">
      <c r="A270" s="855"/>
      <c r="B270" s="775"/>
      <c r="C270" s="833"/>
      <c r="D270" s="1" t="s">
        <v>824</v>
      </c>
      <c r="E270" s="1"/>
      <c r="F270" s="1"/>
      <c r="G270" s="775"/>
      <c r="H270" s="1"/>
      <c r="I270" s="1"/>
      <c r="J270" s="1"/>
      <c r="K270" s="1"/>
      <c r="L270" s="116"/>
      <c r="M270" s="116"/>
      <c r="N270" s="116"/>
      <c r="O270" s="116"/>
      <c r="P270" s="375"/>
      <c r="Q270" s="116"/>
      <c r="R270" s="116"/>
      <c r="S270" s="116"/>
      <c r="T270" s="116"/>
      <c r="U270" s="116"/>
      <c r="V270" s="116"/>
      <c r="W270" s="116"/>
      <c r="X270" s="116"/>
      <c r="Y270" s="116"/>
      <c r="Z270" s="116"/>
      <c r="AA270" s="116"/>
      <c r="AB270" s="116"/>
      <c r="AC270" s="116"/>
      <c r="AD270" s="116"/>
      <c r="AE270" s="116"/>
      <c r="AF270" s="116"/>
      <c r="AG270" s="116"/>
      <c r="AH270" s="1"/>
      <c r="AI270" s="46"/>
      <c r="AJ270" s="46"/>
      <c r="AK270" s="46"/>
      <c r="AL270" s="46"/>
      <c r="AM270" s="46"/>
      <c r="AN270" s="46"/>
      <c r="AO270" s="46"/>
      <c r="AP270" s="46"/>
      <c r="AQ270" s="1"/>
      <c r="AR270" s="15"/>
      <c r="AS270" s="15"/>
      <c r="AT270" s="15"/>
      <c r="AU270" s="15"/>
      <c r="AV270" s="15"/>
      <c r="AW270" s="15"/>
      <c r="AX270" s="15"/>
      <c r="AY270" s="15"/>
      <c r="AZ270" s="15"/>
      <c r="BA270" s="15"/>
      <c r="BB270" s="15"/>
      <c r="BC270" s="15"/>
      <c r="BD270" s="102"/>
      <c r="BE270" s="15"/>
      <c r="BF270" s="15"/>
      <c r="BG270" s="15"/>
      <c r="BH270" s="15"/>
      <c r="BI270" s="15"/>
      <c r="BJ270" s="15"/>
      <c r="BK270" s="15"/>
      <c r="BL270" s="15"/>
      <c r="BM270" s="15"/>
      <c r="BN270" s="15"/>
      <c r="BO270" s="15"/>
      <c r="BP270" s="15"/>
      <c r="BQ270" s="242"/>
      <c r="BR270" s="15"/>
      <c r="BS270" s="15"/>
      <c r="BT270" s="15"/>
      <c r="BU270" s="15"/>
      <c r="BV270" s="15"/>
      <c r="BW270" s="15"/>
      <c r="BX270" s="15"/>
      <c r="BY270" s="15"/>
      <c r="BZ270" s="15"/>
      <c r="CA270" s="15"/>
      <c r="CB270" s="15"/>
      <c r="CC270" s="15"/>
      <c r="CD270" s="15"/>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f t="shared" si="59"/>
        <v>0</v>
      </c>
      <c r="DE270" s="1"/>
      <c r="DF270" s="1"/>
      <c r="DG270" s="1"/>
      <c r="DH270" s="1"/>
      <c r="DI270" s="1"/>
      <c r="DJ270" s="1"/>
      <c r="DK270" s="1"/>
      <c r="DL270" s="1"/>
      <c r="DM270" s="1"/>
      <c r="DN270" s="1"/>
      <c r="DO270" s="1"/>
      <c r="DP270" s="1"/>
      <c r="DQ270" s="1"/>
    </row>
    <row r="271" spans="1:121" x14ac:dyDescent="0.2">
      <c r="A271" s="855"/>
      <c r="B271" s="775"/>
      <c r="C271" s="833"/>
      <c r="D271" s="1" t="s">
        <v>1713</v>
      </c>
      <c r="E271" s="1"/>
      <c r="F271" s="1"/>
      <c r="G271" s="775"/>
      <c r="H271" s="1"/>
      <c r="I271" s="1"/>
      <c r="J271" s="1"/>
      <c r="K271" s="1"/>
      <c r="L271" s="116"/>
      <c r="M271" s="116"/>
      <c r="N271" s="116"/>
      <c r="O271" s="116"/>
      <c r="P271" s="375"/>
      <c r="Q271" s="116"/>
      <c r="R271" s="116"/>
      <c r="S271" s="116"/>
      <c r="T271" s="116"/>
      <c r="U271" s="116"/>
      <c r="V271" s="116"/>
      <c r="W271" s="116"/>
      <c r="X271" s="116"/>
      <c r="Y271" s="116"/>
      <c r="Z271" s="116"/>
      <c r="AA271" s="116"/>
      <c r="AB271" s="116"/>
      <c r="AC271" s="116"/>
      <c r="AD271" s="116"/>
      <c r="AE271" s="116"/>
      <c r="AF271" s="116"/>
      <c r="AG271" s="116"/>
      <c r="AH271" s="1"/>
      <c r="AI271" s="46"/>
      <c r="AJ271" s="46"/>
      <c r="AK271" s="46"/>
      <c r="AL271" s="46"/>
      <c r="AM271" s="46"/>
      <c r="AN271" s="46"/>
      <c r="AO271" s="46"/>
      <c r="AP271" s="46"/>
      <c r="AQ271" s="1"/>
      <c r="AR271" s="15"/>
      <c r="AS271" s="15"/>
      <c r="AT271" s="15"/>
      <c r="AU271" s="15"/>
      <c r="AV271" s="15"/>
      <c r="AW271" s="15"/>
      <c r="AX271" s="15"/>
      <c r="AY271" s="15"/>
      <c r="AZ271" s="15"/>
      <c r="BA271" s="15"/>
      <c r="BB271" s="15"/>
      <c r="BC271" s="15"/>
      <c r="BD271" s="102"/>
      <c r="BE271" s="15"/>
      <c r="BF271" s="15"/>
      <c r="BG271" s="15"/>
      <c r="BH271" s="15"/>
      <c r="BI271" s="15"/>
      <c r="BJ271" s="15"/>
      <c r="BK271" s="15"/>
      <c r="BL271" s="15"/>
      <c r="BM271" s="15"/>
      <c r="BN271" s="15"/>
      <c r="BO271" s="15"/>
      <c r="BP271" s="15"/>
      <c r="BQ271" s="242"/>
      <c r="BR271" s="15"/>
      <c r="BS271" s="15"/>
      <c r="BT271" s="15"/>
      <c r="BU271" s="15"/>
      <c r="BV271" s="15"/>
      <c r="BW271" s="15"/>
      <c r="BX271" s="15"/>
      <c r="BY271" s="15"/>
      <c r="BZ271" s="15"/>
      <c r="CA271" s="15"/>
      <c r="CB271" s="15"/>
      <c r="CC271" s="15"/>
      <c r="CD271" s="15"/>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f t="shared" si="59"/>
        <v>0</v>
      </c>
      <c r="DE271" s="1"/>
      <c r="DF271" s="1"/>
      <c r="DG271" s="1"/>
      <c r="DH271" s="1"/>
      <c r="DI271" s="1"/>
      <c r="DJ271" s="1"/>
      <c r="DK271" s="1"/>
      <c r="DL271" s="1"/>
      <c r="DM271" s="1"/>
      <c r="DN271" s="1"/>
      <c r="DO271" s="1"/>
      <c r="DP271" s="1"/>
      <c r="DQ271" s="1"/>
    </row>
    <row r="272" spans="1:121" x14ac:dyDescent="0.2">
      <c r="A272" s="855"/>
      <c r="B272" s="775"/>
      <c r="C272" s="833"/>
      <c r="D272" s="1" t="s">
        <v>1614</v>
      </c>
      <c r="E272" s="1"/>
      <c r="F272" s="1"/>
      <c r="G272" s="775"/>
      <c r="H272" s="1"/>
      <c r="I272" s="1"/>
      <c r="J272" s="1"/>
      <c r="K272" s="1"/>
      <c r="L272" s="116"/>
      <c r="M272" s="116"/>
      <c r="N272" s="116"/>
      <c r="O272" s="116"/>
      <c r="P272" s="375"/>
      <c r="Q272" s="116"/>
      <c r="R272" s="116"/>
      <c r="S272" s="116"/>
      <c r="T272" s="116"/>
      <c r="U272" s="116"/>
      <c r="V272" s="116"/>
      <c r="W272" s="116"/>
      <c r="X272" s="116"/>
      <c r="Y272" s="116"/>
      <c r="Z272" s="116"/>
      <c r="AA272" s="116"/>
      <c r="AB272" s="116"/>
      <c r="AC272" s="116"/>
      <c r="AD272" s="116"/>
      <c r="AE272" s="116"/>
      <c r="AF272" s="116"/>
      <c r="AG272" s="116"/>
      <c r="AH272" s="1"/>
      <c r="AI272" s="46"/>
      <c r="AJ272" s="46"/>
      <c r="AK272" s="46"/>
      <c r="AL272" s="46"/>
      <c r="AM272" s="46"/>
      <c r="AN272" s="46"/>
      <c r="AO272" s="46"/>
      <c r="AP272" s="46"/>
      <c r="AQ272" s="1"/>
      <c r="AR272" s="15"/>
      <c r="AS272" s="15"/>
      <c r="AT272" s="15"/>
      <c r="AU272" s="15"/>
      <c r="AV272" s="15"/>
      <c r="AW272" s="15"/>
      <c r="AX272" s="15"/>
      <c r="AY272" s="15"/>
      <c r="AZ272" s="15"/>
      <c r="BA272" s="15"/>
      <c r="BB272" s="15"/>
      <c r="BC272" s="15"/>
      <c r="BD272" s="102"/>
      <c r="BE272" s="15"/>
      <c r="BF272" s="15"/>
      <c r="BG272" s="15"/>
      <c r="BH272" s="15"/>
      <c r="BI272" s="15"/>
      <c r="BJ272" s="15"/>
      <c r="BK272" s="15"/>
      <c r="BL272" s="15"/>
      <c r="BM272" s="15"/>
      <c r="BN272" s="15"/>
      <c r="BO272" s="15"/>
      <c r="BP272" s="15"/>
      <c r="BQ272" s="242"/>
      <c r="BR272" s="15"/>
      <c r="BS272" s="15"/>
      <c r="BT272" s="15"/>
      <c r="BU272" s="15"/>
      <c r="BV272" s="15"/>
      <c r="BW272" s="15"/>
      <c r="BX272" s="15"/>
      <c r="BY272" s="15"/>
      <c r="BZ272" s="15"/>
      <c r="CA272" s="15"/>
      <c r="CB272" s="15"/>
      <c r="CC272" s="15"/>
      <c r="CD272" s="15"/>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f t="shared" si="59"/>
        <v>0</v>
      </c>
      <c r="DE272" s="1"/>
      <c r="DF272" s="1"/>
      <c r="DG272" s="1"/>
      <c r="DH272" s="1"/>
      <c r="DI272" s="1"/>
      <c r="DJ272" s="1"/>
      <c r="DK272" s="1"/>
      <c r="DL272" s="1"/>
      <c r="DM272" s="1"/>
      <c r="DN272" s="1"/>
      <c r="DO272" s="1"/>
      <c r="DP272" s="1"/>
      <c r="DQ272" s="1"/>
    </row>
    <row r="273" spans="1:121" x14ac:dyDescent="0.2">
      <c r="A273" s="855"/>
      <c r="B273" s="775"/>
      <c r="C273" s="833"/>
      <c r="D273" s="1" t="s">
        <v>1714</v>
      </c>
      <c r="E273" s="1"/>
      <c r="F273" s="1"/>
      <c r="G273" s="775"/>
      <c r="H273" s="1"/>
      <c r="I273" s="1"/>
      <c r="J273" s="1"/>
      <c r="K273" s="1"/>
      <c r="L273" s="116"/>
      <c r="M273" s="116"/>
      <c r="N273" s="116"/>
      <c r="O273" s="116"/>
      <c r="P273" s="375"/>
      <c r="Q273" s="116"/>
      <c r="R273" s="116"/>
      <c r="S273" s="116"/>
      <c r="T273" s="116"/>
      <c r="U273" s="116"/>
      <c r="V273" s="116"/>
      <c r="W273" s="116"/>
      <c r="X273" s="116"/>
      <c r="Y273" s="116"/>
      <c r="Z273" s="116"/>
      <c r="AA273" s="116"/>
      <c r="AB273" s="116"/>
      <c r="AC273" s="116"/>
      <c r="AD273" s="116"/>
      <c r="AE273" s="116"/>
      <c r="AF273" s="116"/>
      <c r="AG273" s="116"/>
      <c r="AH273" s="1"/>
      <c r="AI273" s="46"/>
      <c r="AJ273" s="46"/>
      <c r="AK273" s="46"/>
      <c r="AL273" s="46"/>
      <c r="AM273" s="46"/>
      <c r="AN273" s="46"/>
      <c r="AO273" s="46"/>
      <c r="AP273" s="46"/>
      <c r="AQ273" s="1"/>
      <c r="AR273" s="15"/>
      <c r="AS273" s="15"/>
      <c r="AT273" s="15"/>
      <c r="AU273" s="15"/>
      <c r="AV273" s="15"/>
      <c r="AW273" s="15"/>
      <c r="AX273" s="15"/>
      <c r="AY273" s="15"/>
      <c r="AZ273" s="15"/>
      <c r="BA273" s="15"/>
      <c r="BB273" s="15"/>
      <c r="BC273" s="15"/>
      <c r="BD273" s="102"/>
      <c r="BE273" s="15"/>
      <c r="BF273" s="15"/>
      <c r="BG273" s="15"/>
      <c r="BH273" s="15"/>
      <c r="BI273" s="15"/>
      <c r="BJ273" s="15"/>
      <c r="BK273" s="15"/>
      <c r="BL273" s="15"/>
      <c r="BM273" s="15"/>
      <c r="BN273" s="15"/>
      <c r="BO273" s="15"/>
      <c r="BP273" s="15"/>
      <c r="BQ273" s="242"/>
      <c r="BR273" s="15"/>
      <c r="BS273" s="15"/>
      <c r="BT273" s="15"/>
      <c r="BU273" s="15"/>
      <c r="BV273" s="15"/>
      <c r="BW273" s="15"/>
      <c r="BX273" s="15"/>
      <c r="BY273" s="15"/>
      <c r="BZ273" s="15"/>
      <c r="CA273" s="15"/>
      <c r="CB273" s="15"/>
      <c r="CC273" s="15"/>
      <c r="CD273" s="15"/>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f t="shared" si="59"/>
        <v>0</v>
      </c>
      <c r="DE273" s="1"/>
      <c r="DF273" s="1"/>
      <c r="DG273" s="1"/>
      <c r="DH273" s="1"/>
      <c r="DI273" s="1"/>
      <c r="DJ273" s="1"/>
      <c r="DK273" s="1"/>
      <c r="DL273" s="1"/>
      <c r="DM273" s="1"/>
      <c r="DN273" s="1"/>
      <c r="DO273" s="1"/>
      <c r="DP273" s="1"/>
      <c r="DQ273" s="1"/>
    </row>
    <row r="274" spans="1:121" x14ac:dyDescent="0.2">
      <c r="A274" s="855"/>
      <c r="B274" s="775"/>
      <c r="C274" s="833"/>
      <c r="D274" s="1" t="s">
        <v>1564</v>
      </c>
      <c r="E274" s="1"/>
      <c r="F274" s="1"/>
      <c r="G274" s="775"/>
      <c r="H274" s="1"/>
      <c r="I274" s="1"/>
      <c r="J274" s="1"/>
      <c r="K274" s="1"/>
      <c r="L274" s="116"/>
      <c r="M274" s="116"/>
      <c r="N274" s="116"/>
      <c r="O274" s="116"/>
      <c r="P274" s="375"/>
      <c r="Q274" s="116"/>
      <c r="R274" s="116"/>
      <c r="S274" s="116"/>
      <c r="T274" s="116"/>
      <c r="U274" s="116"/>
      <c r="V274" s="116"/>
      <c r="W274" s="116"/>
      <c r="X274" s="116"/>
      <c r="Y274" s="116"/>
      <c r="Z274" s="116"/>
      <c r="AA274" s="116"/>
      <c r="AB274" s="116"/>
      <c r="AC274" s="116"/>
      <c r="AD274" s="116"/>
      <c r="AE274" s="116"/>
      <c r="AF274" s="116"/>
      <c r="AG274" s="116"/>
      <c r="AH274" s="1"/>
      <c r="AI274" s="46"/>
      <c r="AJ274" s="46"/>
      <c r="AK274" s="46"/>
      <c r="AL274" s="46"/>
      <c r="AM274" s="46"/>
      <c r="AN274" s="46"/>
      <c r="AO274" s="46"/>
      <c r="AP274" s="46"/>
      <c r="AQ274" s="1"/>
      <c r="AR274" s="15"/>
      <c r="AS274" s="15"/>
      <c r="AT274" s="15"/>
      <c r="AU274" s="15"/>
      <c r="AV274" s="15"/>
      <c r="AW274" s="15"/>
      <c r="AX274" s="15"/>
      <c r="AY274" s="15"/>
      <c r="AZ274" s="15"/>
      <c r="BA274" s="15"/>
      <c r="BB274" s="15"/>
      <c r="BC274" s="15"/>
      <c r="BD274" s="102"/>
      <c r="BE274" s="15"/>
      <c r="BF274" s="15"/>
      <c r="BG274" s="15"/>
      <c r="BH274" s="15"/>
      <c r="BI274" s="15"/>
      <c r="BJ274" s="15"/>
      <c r="BK274" s="15"/>
      <c r="BL274" s="15"/>
      <c r="BM274" s="15"/>
      <c r="BN274" s="15"/>
      <c r="BO274" s="15"/>
      <c r="BP274" s="15"/>
      <c r="BQ274" s="242"/>
      <c r="BR274" s="15"/>
      <c r="BS274" s="15"/>
      <c r="BT274" s="15"/>
      <c r="BU274" s="15"/>
      <c r="BV274" s="15"/>
      <c r="BW274" s="15"/>
      <c r="BX274" s="15"/>
      <c r="BY274" s="15"/>
      <c r="BZ274" s="15"/>
      <c r="CA274" s="15"/>
      <c r="CB274" s="15"/>
      <c r="CC274" s="15"/>
      <c r="CD274" s="15"/>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f t="shared" si="59"/>
        <v>0</v>
      </c>
      <c r="DE274" s="1"/>
      <c r="DF274" s="1"/>
      <c r="DG274" s="1"/>
      <c r="DH274" s="1"/>
      <c r="DI274" s="1"/>
      <c r="DJ274" s="1"/>
      <c r="DK274" s="1"/>
      <c r="DL274" s="1"/>
      <c r="DM274" s="1"/>
      <c r="DN274" s="1"/>
      <c r="DO274" s="1"/>
      <c r="DP274" s="1"/>
      <c r="DQ274" s="1"/>
    </row>
    <row r="275" spans="1:121" x14ac:dyDescent="0.2">
      <c r="A275" s="855"/>
      <c r="B275" s="775"/>
      <c r="C275" s="833"/>
      <c r="D275" s="1" t="s">
        <v>1715</v>
      </c>
      <c r="E275" s="1"/>
      <c r="F275" s="1"/>
      <c r="G275" s="775"/>
      <c r="H275" s="1"/>
      <c r="I275" s="1"/>
      <c r="J275" s="1"/>
      <c r="K275" s="1"/>
      <c r="L275" s="116"/>
      <c r="M275" s="116"/>
      <c r="N275" s="116"/>
      <c r="O275" s="116"/>
      <c r="P275" s="375"/>
      <c r="Q275" s="116"/>
      <c r="R275" s="116"/>
      <c r="S275" s="116"/>
      <c r="T275" s="116"/>
      <c r="U275" s="116"/>
      <c r="V275" s="116"/>
      <c r="W275" s="116"/>
      <c r="X275" s="116"/>
      <c r="Y275" s="116"/>
      <c r="Z275" s="116"/>
      <c r="AA275" s="116"/>
      <c r="AB275" s="116"/>
      <c r="AC275" s="116"/>
      <c r="AD275" s="116"/>
      <c r="AE275" s="116"/>
      <c r="AF275" s="116"/>
      <c r="AG275" s="116"/>
      <c r="AH275" s="1"/>
      <c r="AI275" s="46"/>
      <c r="AJ275" s="46"/>
      <c r="AK275" s="46"/>
      <c r="AL275" s="46"/>
      <c r="AM275" s="46"/>
      <c r="AN275" s="46"/>
      <c r="AO275" s="46"/>
      <c r="AP275" s="46"/>
      <c r="AQ275" s="1"/>
      <c r="AR275" s="15"/>
      <c r="AS275" s="15"/>
      <c r="AT275" s="15"/>
      <c r="AU275" s="15"/>
      <c r="AV275" s="15"/>
      <c r="AW275" s="15"/>
      <c r="AX275" s="15"/>
      <c r="AY275" s="15"/>
      <c r="AZ275" s="15"/>
      <c r="BA275" s="15"/>
      <c r="BB275" s="15"/>
      <c r="BC275" s="15"/>
      <c r="BD275" s="102"/>
      <c r="BE275" s="15"/>
      <c r="BF275" s="15"/>
      <c r="BG275" s="15"/>
      <c r="BH275" s="15"/>
      <c r="BI275" s="15"/>
      <c r="BJ275" s="15"/>
      <c r="BK275" s="15"/>
      <c r="BL275" s="15"/>
      <c r="BM275" s="15"/>
      <c r="BN275" s="15"/>
      <c r="BO275" s="15"/>
      <c r="BP275" s="15"/>
      <c r="BQ275" s="242"/>
      <c r="BR275" s="15"/>
      <c r="BS275" s="15"/>
      <c r="BT275" s="15"/>
      <c r="BU275" s="15"/>
      <c r="BV275" s="15"/>
      <c r="BW275" s="15"/>
      <c r="BX275" s="15"/>
      <c r="BY275" s="15"/>
      <c r="BZ275" s="15"/>
      <c r="CA275" s="15"/>
      <c r="CB275" s="15"/>
      <c r="CC275" s="15"/>
      <c r="CD275" s="15"/>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f t="shared" si="59"/>
        <v>0</v>
      </c>
      <c r="DE275" s="1"/>
      <c r="DF275" s="1"/>
      <c r="DG275" s="1"/>
      <c r="DH275" s="1"/>
      <c r="DI275" s="1"/>
      <c r="DJ275" s="1"/>
      <c r="DK275" s="1"/>
      <c r="DL275" s="1"/>
      <c r="DM275" s="1"/>
      <c r="DN275" s="1"/>
      <c r="DO275" s="1"/>
      <c r="DP275" s="1"/>
      <c r="DQ275" s="1"/>
    </row>
    <row r="276" spans="1:121" x14ac:dyDescent="0.2">
      <c r="A276" s="855"/>
      <c r="B276" s="775"/>
      <c r="C276" s="833"/>
      <c r="D276" s="1" t="s">
        <v>1716</v>
      </c>
      <c r="E276" s="1"/>
      <c r="F276" s="1"/>
      <c r="G276" s="775"/>
      <c r="H276" s="1"/>
      <c r="I276" s="1"/>
      <c r="J276" s="1"/>
      <c r="K276" s="1"/>
      <c r="L276" s="116"/>
      <c r="M276" s="116"/>
      <c r="N276" s="116"/>
      <c r="O276" s="116"/>
      <c r="P276" s="375"/>
      <c r="Q276" s="116"/>
      <c r="R276" s="116"/>
      <c r="S276" s="116"/>
      <c r="T276" s="116"/>
      <c r="U276" s="116"/>
      <c r="V276" s="116"/>
      <c r="W276" s="116"/>
      <c r="X276" s="116"/>
      <c r="Y276" s="116"/>
      <c r="Z276" s="116"/>
      <c r="AA276" s="116"/>
      <c r="AB276" s="116"/>
      <c r="AC276" s="116"/>
      <c r="AD276" s="116"/>
      <c r="AE276" s="116"/>
      <c r="AF276" s="116"/>
      <c r="AG276" s="116"/>
      <c r="AH276" s="1"/>
      <c r="AI276" s="46"/>
      <c r="AJ276" s="46"/>
      <c r="AK276" s="46"/>
      <c r="AL276" s="46"/>
      <c r="AM276" s="46"/>
      <c r="AN276" s="46"/>
      <c r="AO276" s="46"/>
      <c r="AP276" s="46"/>
      <c r="AQ276" s="1"/>
      <c r="AR276" s="15"/>
      <c r="AS276" s="15"/>
      <c r="AT276" s="15"/>
      <c r="AU276" s="15"/>
      <c r="AV276" s="15"/>
      <c r="AW276" s="15"/>
      <c r="AX276" s="15"/>
      <c r="AY276" s="15"/>
      <c r="AZ276" s="15"/>
      <c r="BA276" s="15"/>
      <c r="BB276" s="15"/>
      <c r="BC276" s="15"/>
      <c r="BD276" s="102"/>
      <c r="BE276" s="15"/>
      <c r="BF276" s="15"/>
      <c r="BG276" s="15"/>
      <c r="BH276" s="15"/>
      <c r="BI276" s="15"/>
      <c r="BJ276" s="15"/>
      <c r="BK276" s="15"/>
      <c r="BL276" s="15"/>
      <c r="BM276" s="15"/>
      <c r="BN276" s="15"/>
      <c r="BO276" s="15"/>
      <c r="BP276" s="15"/>
      <c r="BQ276" s="242"/>
      <c r="BR276" s="15"/>
      <c r="BS276" s="15"/>
      <c r="BT276" s="15"/>
      <c r="BU276" s="15"/>
      <c r="BV276" s="15"/>
      <c r="BW276" s="15"/>
      <c r="BX276" s="15"/>
      <c r="BY276" s="15"/>
      <c r="BZ276" s="15"/>
      <c r="CA276" s="15"/>
      <c r="CB276" s="15"/>
      <c r="CC276" s="15"/>
      <c r="CD276" s="15"/>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f t="shared" si="59"/>
        <v>0</v>
      </c>
      <c r="DE276" s="1"/>
      <c r="DF276" s="1"/>
      <c r="DG276" s="1"/>
      <c r="DH276" s="1"/>
      <c r="DI276" s="1"/>
      <c r="DJ276" s="1"/>
      <c r="DK276" s="1"/>
      <c r="DL276" s="1"/>
      <c r="DM276" s="1"/>
      <c r="DN276" s="1"/>
      <c r="DO276" s="1"/>
      <c r="DP276" s="1"/>
      <c r="DQ276" s="1"/>
    </row>
    <row r="277" spans="1:121" x14ac:dyDescent="0.2">
      <c r="A277" s="855"/>
      <c r="B277" s="775"/>
      <c r="C277" s="833"/>
      <c r="D277" s="1" t="s">
        <v>1717</v>
      </c>
      <c r="E277" s="1"/>
      <c r="F277" s="1"/>
      <c r="G277" s="775"/>
      <c r="H277" s="1"/>
      <c r="I277" s="1"/>
      <c r="J277" s="1"/>
      <c r="K277" s="1"/>
      <c r="L277" s="116"/>
      <c r="M277" s="116"/>
      <c r="N277" s="116"/>
      <c r="O277" s="116"/>
      <c r="P277" s="375"/>
      <c r="Q277" s="116"/>
      <c r="R277" s="116"/>
      <c r="S277" s="116"/>
      <c r="T277" s="116"/>
      <c r="U277" s="116"/>
      <c r="V277" s="116"/>
      <c r="W277" s="116"/>
      <c r="X277" s="116"/>
      <c r="Y277" s="116"/>
      <c r="Z277" s="116"/>
      <c r="AA277" s="116"/>
      <c r="AB277" s="116"/>
      <c r="AC277" s="116"/>
      <c r="AD277" s="116"/>
      <c r="AE277" s="116"/>
      <c r="AF277" s="116"/>
      <c r="AG277" s="116"/>
      <c r="AH277" s="1"/>
      <c r="AI277" s="46"/>
      <c r="AJ277" s="46"/>
      <c r="AK277" s="46"/>
      <c r="AL277" s="46"/>
      <c r="AM277" s="46"/>
      <c r="AN277" s="46"/>
      <c r="AO277" s="46"/>
      <c r="AP277" s="46"/>
      <c r="AQ277" s="1"/>
      <c r="AR277" s="15"/>
      <c r="AS277" s="15"/>
      <c r="AT277" s="15"/>
      <c r="AU277" s="15"/>
      <c r="AV277" s="15"/>
      <c r="AW277" s="15"/>
      <c r="AX277" s="15"/>
      <c r="AY277" s="15"/>
      <c r="AZ277" s="15"/>
      <c r="BA277" s="15"/>
      <c r="BB277" s="15"/>
      <c r="BC277" s="15"/>
      <c r="BD277" s="102"/>
      <c r="BE277" s="15"/>
      <c r="BF277" s="15"/>
      <c r="BG277" s="15"/>
      <c r="BH277" s="15"/>
      <c r="BI277" s="15"/>
      <c r="BJ277" s="15"/>
      <c r="BK277" s="15"/>
      <c r="BL277" s="15"/>
      <c r="BM277" s="15"/>
      <c r="BN277" s="15"/>
      <c r="BO277" s="15"/>
      <c r="BP277" s="15"/>
      <c r="BQ277" s="242"/>
      <c r="BR277" s="15"/>
      <c r="BS277" s="15"/>
      <c r="BT277" s="15"/>
      <c r="BU277" s="15"/>
      <c r="BV277" s="15"/>
      <c r="BW277" s="15"/>
      <c r="BX277" s="15"/>
      <c r="BY277" s="15"/>
      <c r="BZ277" s="15"/>
      <c r="CA277" s="15"/>
      <c r="CB277" s="15"/>
      <c r="CC277" s="15"/>
      <c r="CD277" s="15"/>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f t="shared" si="59"/>
        <v>0</v>
      </c>
      <c r="DE277" s="1"/>
      <c r="DF277" s="1"/>
      <c r="DG277" s="1"/>
      <c r="DH277" s="1"/>
      <c r="DI277" s="1"/>
      <c r="DJ277" s="1"/>
      <c r="DK277" s="1"/>
      <c r="DL277" s="1"/>
      <c r="DM277" s="1"/>
      <c r="DN277" s="1"/>
      <c r="DO277" s="1"/>
      <c r="DP277" s="1"/>
      <c r="DQ277" s="1"/>
    </row>
    <row r="278" spans="1:121" x14ac:dyDescent="0.2">
      <c r="A278" s="855"/>
      <c r="B278" s="775"/>
      <c r="C278" s="833"/>
      <c r="D278" s="1" t="s">
        <v>1718</v>
      </c>
      <c r="E278" s="1"/>
      <c r="F278" s="1"/>
      <c r="G278" s="775"/>
      <c r="H278" s="1"/>
      <c r="I278" s="1"/>
      <c r="J278" s="1"/>
      <c r="K278" s="1"/>
      <c r="L278" s="116"/>
      <c r="M278" s="116"/>
      <c r="N278" s="116"/>
      <c r="O278" s="116"/>
      <c r="P278" s="375"/>
      <c r="Q278" s="116"/>
      <c r="R278" s="116"/>
      <c r="S278" s="116"/>
      <c r="T278" s="116"/>
      <c r="U278" s="116"/>
      <c r="V278" s="116"/>
      <c r="W278" s="116"/>
      <c r="X278" s="116"/>
      <c r="Y278" s="116"/>
      <c r="Z278" s="116"/>
      <c r="AA278" s="116"/>
      <c r="AB278" s="116"/>
      <c r="AC278" s="116"/>
      <c r="AD278" s="116"/>
      <c r="AE278" s="116"/>
      <c r="AF278" s="116"/>
      <c r="AG278" s="116"/>
      <c r="AH278" s="1"/>
      <c r="AI278" s="46"/>
      <c r="AJ278" s="46"/>
      <c r="AK278" s="46"/>
      <c r="AL278" s="46"/>
      <c r="AM278" s="46"/>
      <c r="AN278" s="46"/>
      <c r="AO278" s="46"/>
      <c r="AP278" s="46"/>
      <c r="AQ278" s="1"/>
      <c r="AR278" s="15"/>
      <c r="AS278" s="15"/>
      <c r="AT278" s="15"/>
      <c r="AU278" s="15"/>
      <c r="AV278" s="15"/>
      <c r="AW278" s="15"/>
      <c r="AX278" s="15"/>
      <c r="AY278" s="15"/>
      <c r="AZ278" s="15"/>
      <c r="BA278" s="15"/>
      <c r="BB278" s="15"/>
      <c r="BC278" s="15"/>
      <c r="BD278" s="102"/>
      <c r="BE278" s="15"/>
      <c r="BF278" s="15"/>
      <c r="BG278" s="15"/>
      <c r="BH278" s="15"/>
      <c r="BI278" s="15"/>
      <c r="BJ278" s="15"/>
      <c r="BK278" s="15"/>
      <c r="BL278" s="15"/>
      <c r="BM278" s="15"/>
      <c r="BN278" s="15"/>
      <c r="BO278" s="15"/>
      <c r="BP278" s="15"/>
      <c r="BQ278" s="242"/>
      <c r="BR278" s="15"/>
      <c r="BS278" s="15"/>
      <c r="BT278" s="15"/>
      <c r="BU278" s="15"/>
      <c r="BV278" s="15"/>
      <c r="BW278" s="15"/>
      <c r="BX278" s="15"/>
      <c r="BY278" s="15"/>
      <c r="BZ278" s="15"/>
      <c r="CA278" s="15"/>
      <c r="CB278" s="15"/>
      <c r="CC278" s="15"/>
      <c r="CD278" s="15"/>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f t="shared" si="59"/>
        <v>0</v>
      </c>
      <c r="DE278" s="1"/>
      <c r="DF278" s="1"/>
      <c r="DG278" s="1"/>
      <c r="DH278" s="1"/>
      <c r="DI278" s="1"/>
      <c r="DJ278" s="1"/>
      <c r="DK278" s="1"/>
      <c r="DL278" s="1"/>
      <c r="DM278" s="1"/>
      <c r="DN278" s="1"/>
      <c r="DO278" s="1"/>
      <c r="DP278" s="1"/>
      <c r="DQ278" s="1"/>
    </row>
    <row r="279" spans="1:121" x14ac:dyDescent="0.2">
      <c r="A279" s="855"/>
      <c r="B279" s="775"/>
      <c r="C279" s="833"/>
      <c r="D279" s="1" t="s">
        <v>1719</v>
      </c>
      <c r="E279" s="1"/>
      <c r="F279" s="1"/>
      <c r="G279" s="775"/>
      <c r="H279" s="1"/>
      <c r="I279" s="1"/>
      <c r="J279" s="1"/>
      <c r="K279" s="1"/>
      <c r="L279" s="116"/>
      <c r="M279" s="116"/>
      <c r="N279" s="116"/>
      <c r="O279" s="116"/>
      <c r="P279" s="375"/>
      <c r="Q279" s="116"/>
      <c r="R279" s="116"/>
      <c r="S279" s="116"/>
      <c r="T279" s="116"/>
      <c r="U279" s="116"/>
      <c r="V279" s="116"/>
      <c r="W279" s="116"/>
      <c r="X279" s="116"/>
      <c r="Y279" s="116"/>
      <c r="Z279" s="116"/>
      <c r="AA279" s="116"/>
      <c r="AB279" s="116"/>
      <c r="AC279" s="116"/>
      <c r="AD279" s="116"/>
      <c r="AE279" s="116"/>
      <c r="AF279" s="116"/>
      <c r="AG279" s="116"/>
      <c r="AH279" s="1"/>
      <c r="AI279" s="46"/>
      <c r="AJ279" s="46"/>
      <c r="AK279" s="46"/>
      <c r="AL279" s="46"/>
      <c r="AM279" s="46"/>
      <c r="AN279" s="46"/>
      <c r="AO279" s="46"/>
      <c r="AP279" s="46"/>
      <c r="AQ279" s="1"/>
      <c r="AR279" s="15"/>
      <c r="AS279" s="15"/>
      <c r="AT279" s="15"/>
      <c r="AU279" s="15"/>
      <c r="AV279" s="15"/>
      <c r="AW279" s="15"/>
      <c r="AX279" s="15"/>
      <c r="AY279" s="15"/>
      <c r="AZ279" s="15"/>
      <c r="BA279" s="15"/>
      <c r="BB279" s="15"/>
      <c r="BC279" s="15"/>
      <c r="BD279" s="102"/>
      <c r="BE279" s="15"/>
      <c r="BF279" s="15"/>
      <c r="BG279" s="15"/>
      <c r="BH279" s="15"/>
      <c r="BI279" s="15"/>
      <c r="BJ279" s="15"/>
      <c r="BK279" s="15"/>
      <c r="BL279" s="15"/>
      <c r="BM279" s="15"/>
      <c r="BN279" s="15"/>
      <c r="BO279" s="15"/>
      <c r="BP279" s="15"/>
      <c r="BQ279" s="242"/>
      <c r="BR279" s="15"/>
      <c r="BS279" s="15"/>
      <c r="BT279" s="15"/>
      <c r="BU279" s="15"/>
      <c r="BV279" s="15"/>
      <c r="BW279" s="15"/>
      <c r="BX279" s="15"/>
      <c r="BY279" s="15"/>
      <c r="BZ279" s="15"/>
      <c r="CA279" s="15"/>
      <c r="CB279" s="15"/>
      <c r="CC279" s="15"/>
      <c r="CD279" s="15"/>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f t="shared" si="59"/>
        <v>0</v>
      </c>
      <c r="DE279" s="1"/>
      <c r="DF279" s="1"/>
      <c r="DG279" s="1"/>
      <c r="DH279" s="1"/>
      <c r="DI279" s="1"/>
      <c r="DJ279" s="1"/>
      <c r="DK279" s="1"/>
      <c r="DL279" s="1"/>
      <c r="DM279" s="1"/>
      <c r="DN279" s="1"/>
      <c r="DO279" s="1"/>
      <c r="DP279" s="1"/>
      <c r="DQ279" s="1"/>
    </row>
    <row r="280" spans="1:121" x14ac:dyDescent="0.2">
      <c r="A280" s="855"/>
      <c r="B280" s="775"/>
      <c r="C280" s="833"/>
      <c r="D280" s="1" t="s">
        <v>1720</v>
      </c>
      <c r="E280" s="1"/>
      <c r="F280" s="1"/>
      <c r="G280" s="775"/>
      <c r="H280" s="1"/>
      <c r="I280" s="1"/>
      <c r="J280" s="1"/>
      <c r="K280" s="1"/>
      <c r="L280" s="116"/>
      <c r="M280" s="116"/>
      <c r="N280" s="116"/>
      <c r="O280" s="116"/>
      <c r="P280" s="375"/>
      <c r="Q280" s="116"/>
      <c r="R280" s="116"/>
      <c r="S280" s="116"/>
      <c r="T280" s="116"/>
      <c r="U280" s="116"/>
      <c r="V280" s="116"/>
      <c r="W280" s="116"/>
      <c r="X280" s="116"/>
      <c r="Y280" s="116"/>
      <c r="Z280" s="116"/>
      <c r="AA280" s="116"/>
      <c r="AB280" s="116"/>
      <c r="AC280" s="116"/>
      <c r="AD280" s="116"/>
      <c r="AE280" s="116"/>
      <c r="AF280" s="116"/>
      <c r="AG280" s="116"/>
      <c r="AH280" s="1"/>
      <c r="AI280" s="46"/>
      <c r="AJ280" s="46"/>
      <c r="AK280" s="46"/>
      <c r="AL280" s="46"/>
      <c r="AM280" s="46"/>
      <c r="AN280" s="46"/>
      <c r="AO280" s="46"/>
      <c r="AP280" s="46"/>
      <c r="AQ280" s="1"/>
      <c r="AR280" s="15"/>
      <c r="AS280" s="15"/>
      <c r="AT280" s="15"/>
      <c r="AU280" s="15"/>
      <c r="AV280" s="15"/>
      <c r="AW280" s="15"/>
      <c r="AX280" s="15"/>
      <c r="AY280" s="15"/>
      <c r="AZ280" s="15"/>
      <c r="BA280" s="15"/>
      <c r="BB280" s="15"/>
      <c r="BC280" s="15"/>
      <c r="BD280" s="102"/>
      <c r="BE280" s="15"/>
      <c r="BF280" s="15"/>
      <c r="BG280" s="15"/>
      <c r="BH280" s="15"/>
      <c r="BI280" s="15"/>
      <c r="BJ280" s="15"/>
      <c r="BK280" s="15"/>
      <c r="BL280" s="15"/>
      <c r="BM280" s="15"/>
      <c r="BN280" s="15"/>
      <c r="BO280" s="15"/>
      <c r="BP280" s="15"/>
      <c r="BQ280" s="242"/>
      <c r="BR280" s="15"/>
      <c r="BS280" s="15"/>
      <c r="BT280" s="15"/>
      <c r="BU280" s="15"/>
      <c r="BV280" s="15"/>
      <c r="BW280" s="15"/>
      <c r="BX280" s="15"/>
      <c r="BY280" s="15"/>
      <c r="BZ280" s="15"/>
      <c r="CA280" s="15"/>
      <c r="CB280" s="15"/>
      <c r="CC280" s="15"/>
      <c r="CD280" s="15"/>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f t="shared" si="59"/>
        <v>0</v>
      </c>
      <c r="DE280" s="1"/>
      <c r="DF280" s="1"/>
      <c r="DG280" s="1"/>
      <c r="DH280" s="1"/>
      <c r="DI280" s="1"/>
      <c r="DJ280" s="1"/>
      <c r="DK280" s="1"/>
      <c r="DL280" s="1"/>
      <c r="DM280" s="1"/>
      <c r="DN280" s="1"/>
      <c r="DO280" s="1"/>
      <c r="DP280" s="1"/>
      <c r="DQ280" s="1"/>
    </row>
    <row r="281" spans="1:121" x14ac:dyDescent="0.2">
      <c r="A281" s="855"/>
      <c r="B281" s="775"/>
      <c r="C281" s="833"/>
      <c r="D281" s="1" t="s">
        <v>1721</v>
      </c>
      <c r="E281" s="1"/>
      <c r="F281" s="1"/>
      <c r="G281" s="775"/>
      <c r="H281" s="1"/>
      <c r="I281" s="1"/>
      <c r="J281" s="1"/>
      <c r="K281" s="1"/>
      <c r="L281" s="116"/>
      <c r="M281" s="116"/>
      <c r="N281" s="116"/>
      <c r="O281" s="116"/>
      <c r="P281" s="375"/>
      <c r="Q281" s="116"/>
      <c r="R281" s="116"/>
      <c r="S281" s="116"/>
      <c r="T281" s="116"/>
      <c r="U281" s="116"/>
      <c r="V281" s="116"/>
      <c r="W281" s="116"/>
      <c r="X281" s="116"/>
      <c r="Y281" s="116"/>
      <c r="Z281" s="116"/>
      <c r="AA281" s="116"/>
      <c r="AB281" s="116"/>
      <c r="AC281" s="116"/>
      <c r="AD281" s="116"/>
      <c r="AE281" s="116"/>
      <c r="AF281" s="116"/>
      <c r="AG281" s="116"/>
      <c r="AH281" s="1"/>
      <c r="AI281" s="46"/>
      <c r="AJ281" s="46"/>
      <c r="AK281" s="46"/>
      <c r="AL281" s="46"/>
      <c r="AM281" s="46"/>
      <c r="AN281" s="46"/>
      <c r="AO281" s="46"/>
      <c r="AP281" s="46"/>
      <c r="AQ281" s="1"/>
      <c r="AR281" s="15"/>
      <c r="AS281" s="15"/>
      <c r="AT281" s="15"/>
      <c r="AU281" s="15"/>
      <c r="AV281" s="15"/>
      <c r="AW281" s="15"/>
      <c r="AX281" s="15"/>
      <c r="AY281" s="15"/>
      <c r="AZ281" s="15"/>
      <c r="BA281" s="15"/>
      <c r="BB281" s="15"/>
      <c r="BC281" s="15"/>
      <c r="BD281" s="102"/>
      <c r="BE281" s="15"/>
      <c r="BF281" s="15"/>
      <c r="BG281" s="15"/>
      <c r="BH281" s="15"/>
      <c r="BI281" s="15"/>
      <c r="BJ281" s="15"/>
      <c r="BK281" s="15"/>
      <c r="BL281" s="15"/>
      <c r="BM281" s="15"/>
      <c r="BN281" s="15"/>
      <c r="BO281" s="15"/>
      <c r="BP281" s="15"/>
      <c r="BQ281" s="242"/>
      <c r="BR281" s="15"/>
      <c r="BS281" s="15"/>
      <c r="BT281" s="15"/>
      <c r="BU281" s="15"/>
      <c r="BV281" s="15"/>
      <c r="BW281" s="15"/>
      <c r="BX281" s="15"/>
      <c r="BY281" s="15"/>
      <c r="BZ281" s="15"/>
      <c r="CA281" s="15"/>
      <c r="CB281" s="15"/>
      <c r="CC281" s="15"/>
      <c r="CD281" s="15"/>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f t="shared" si="59"/>
        <v>0</v>
      </c>
      <c r="DE281" s="1"/>
      <c r="DF281" s="1"/>
      <c r="DG281" s="1"/>
      <c r="DH281" s="1"/>
      <c r="DI281" s="1"/>
      <c r="DJ281" s="1"/>
      <c r="DK281" s="1"/>
      <c r="DL281" s="1"/>
      <c r="DM281" s="1"/>
      <c r="DN281" s="1"/>
      <c r="DO281" s="1"/>
      <c r="DP281" s="1"/>
      <c r="DQ281" s="1"/>
    </row>
    <row r="282" spans="1:121" x14ac:dyDescent="0.2">
      <c r="A282" s="855"/>
      <c r="B282" s="775"/>
      <c r="C282" s="833"/>
      <c r="D282" s="1" t="s">
        <v>1722</v>
      </c>
      <c r="E282" s="1"/>
      <c r="F282" s="1"/>
      <c r="G282" s="775"/>
      <c r="H282" s="1"/>
      <c r="I282" s="1"/>
      <c r="J282" s="1"/>
      <c r="K282" s="1"/>
      <c r="L282" s="116"/>
      <c r="M282" s="116"/>
      <c r="N282" s="116"/>
      <c r="O282" s="116"/>
      <c r="P282" s="375"/>
      <c r="Q282" s="116"/>
      <c r="R282" s="116"/>
      <c r="S282" s="116"/>
      <c r="T282" s="116"/>
      <c r="U282" s="116"/>
      <c r="V282" s="116"/>
      <c r="W282" s="116"/>
      <c r="X282" s="116"/>
      <c r="Y282" s="116"/>
      <c r="Z282" s="116"/>
      <c r="AA282" s="116"/>
      <c r="AB282" s="116"/>
      <c r="AC282" s="116"/>
      <c r="AD282" s="116"/>
      <c r="AE282" s="116"/>
      <c r="AF282" s="116"/>
      <c r="AG282" s="116"/>
      <c r="AH282" s="1"/>
      <c r="AI282" s="46"/>
      <c r="AJ282" s="46"/>
      <c r="AK282" s="46"/>
      <c r="AL282" s="46"/>
      <c r="AM282" s="46"/>
      <c r="AN282" s="46"/>
      <c r="AO282" s="46"/>
      <c r="AP282" s="46"/>
      <c r="AQ282" s="1"/>
      <c r="AR282" s="15"/>
      <c r="AS282" s="15"/>
      <c r="AT282" s="15"/>
      <c r="AU282" s="15"/>
      <c r="AV282" s="15"/>
      <c r="AW282" s="15"/>
      <c r="AX282" s="15"/>
      <c r="AY282" s="15"/>
      <c r="AZ282" s="15"/>
      <c r="BA282" s="15"/>
      <c r="BB282" s="15"/>
      <c r="BC282" s="15"/>
      <c r="BD282" s="102"/>
      <c r="BE282" s="15"/>
      <c r="BF282" s="15"/>
      <c r="BG282" s="15"/>
      <c r="BH282" s="15"/>
      <c r="BI282" s="15"/>
      <c r="BJ282" s="15"/>
      <c r="BK282" s="15"/>
      <c r="BL282" s="15"/>
      <c r="BM282" s="15"/>
      <c r="BN282" s="15"/>
      <c r="BO282" s="15"/>
      <c r="BP282" s="15"/>
      <c r="BQ282" s="242"/>
      <c r="BR282" s="15"/>
      <c r="BS282" s="15"/>
      <c r="BT282" s="15"/>
      <c r="BU282" s="15"/>
      <c r="BV282" s="15"/>
      <c r="BW282" s="15"/>
      <c r="BX282" s="15"/>
      <c r="BY282" s="15"/>
      <c r="BZ282" s="15"/>
      <c r="CA282" s="15"/>
      <c r="CB282" s="15"/>
      <c r="CC282" s="15"/>
      <c r="CD282" s="15"/>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f t="shared" si="59"/>
        <v>0</v>
      </c>
      <c r="DE282" s="1"/>
      <c r="DF282" s="1"/>
      <c r="DG282" s="1"/>
      <c r="DH282" s="1"/>
      <c r="DI282" s="1"/>
      <c r="DJ282" s="1"/>
      <c r="DK282" s="1"/>
      <c r="DL282" s="1"/>
      <c r="DM282" s="1"/>
      <c r="DN282" s="1"/>
      <c r="DO282" s="1"/>
      <c r="DP282" s="1"/>
      <c r="DQ282" s="1"/>
    </row>
    <row r="283" spans="1:121" x14ac:dyDescent="0.2">
      <c r="A283" s="855"/>
      <c r="B283" s="775"/>
      <c r="C283" s="833"/>
      <c r="D283" s="1" t="s">
        <v>1723</v>
      </c>
      <c r="E283" s="1"/>
      <c r="F283" s="1"/>
      <c r="G283" s="775"/>
      <c r="H283" s="1"/>
      <c r="I283" s="1"/>
      <c r="J283" s="1"/>
      <c r="K283" s="1"/>
      <c r="L283" s="116"/>
      <c r="M283" s="116"/>
      <c r="N283" s="116"/>
      <c r="O283" s="116"/>
      <c r="P283" s="375"/>
      <c r="Q283" s="116"/>
      <c r="R283" s="116"/>
      <c r="S283" s="116"/>
      <c r="T283" s="116"/>
      <c r="U283" s="116"/>
      <c r="V283" s="116"/>
      <c r="W283" s="116"/>
      <c r="X283" s="116"/>
      <c r="Y283" s="116"/>
      <c r="Z283" s="116"/>
      <c r="AA283" s="116"/>
      <c r="AB283" s="116"/>
      <c r="AC283" s="116"/>
      <c r="AD283" s="116"/>
      <c r="AE283" s="116"/>
      <c r="AF283" s="116"/>
      <c r="AG283" s="116"/>
      <c r="AH283" s="1"/>
      <c r="AI283" s="46"/>
      <c r="AJ283" s="46"/>
      <c r="AK283" s="46"/>
      <c r="AL283" s="46"/>
      <c r="AM283" s="46"/>
      <c r="AN283" s="46"/>
      <c r="AO283" s="46"/>
      <c r="AP283" s="46"/>
      <c r="AQ283" s="1"/>
      <c r="AR283" s="15"/>
      <c r="AS283" s="15"/>
      <c r="AT283" s="15"/>
      <c r="AU283" s="15"/>
      <c r="AV283" s="15"/>
      <c r="AW283" s="15"/>
      <c r="AX283" s="15"/>
      <c r="AY283" s="15"/>
      <c r="AZ283" s="15"/>
      <c r="BA283" s="15"/>
      <c r="BB283" s="15"/>
      <c r="BC283" s="15"/>
      <c r="BD283" s="102"/>
      <c r="BE283" s="15"/>
      <c r="BF283" s="15"/>
      <c r="BG283" s="15"/>
      <c r="BH283" s="15"/>
      <c r="BI283" s="15"/>
      <c r="BJ283" s="15"/>
      <c r="BK283" s="15"/>
      <c r="BL283" s="15"/>
      <c r="BM283" s="15"/>
      <c r="BN283" s="15"/>
      <c r="BO283" s="15"/>
      <c r="BP283" s="15"/>
      <c r="BQ283" s="242"/>
      <c r="BR283" s="15"/>
      <c r="BS283" s="15"/>
      <c r="BT283" s="15"/>
      <c r="BU283" s="15"/>
      <c r="BV283" s="15"/>
      <c r="BW283" s="15"/>
      <c r="BX283" s="15"/>
      <c r="BY283" s="15"/>
      <c r="BZ283" s="15"/>
      <c r="CA283" s="15"/>
      <c r="CB283" s="15"/>
      <c r="CC283" s="15"/>
      <c r="CD283" s="15"/>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f t="shared" si="59"/>
        <v>0</v>
      </c>
      <c r="DE283" s="1"/>
      <c r="DF283" s="1"/>
      <c r="DG283" s="1"/>
      <c r="DH283" s="1"/>
      <c r="DI283" s="1"/>
      <c r="DJ283" s="1"/>
      <c r="DK283" s="1"/>
      <c r="DL283" s="1"/>
      <c r="DM283" s="1"/>
      <c r="DN283" s="1"/>
      <c r="DO283" s="1"/>
      <c r="DP283" s="1"/>
      <c r="DQ283" s="1"/>
    </row>
    <row r="284" spans="1:121" x14ac:dyDescent="0.2">
      <c r="A284" s="855"/>
      <c r="B284" s="775"/>
      <c r="C284" s="833"/>
      <c r="D284" s="1" t="s">
        <v>1724</v>
      </c>
      <c r="E284" s="1"/>
      <c r="F284" s="1"/>
      <c r="G284" s="775"/>
      <c r="H284" s="1"/>
      <c r="I284" s="1"/>
      <c r="J284" s="1"/>
      <c r="K284" s="1"/>
      <c r="L284" s="116"/>
      <c r="M284" s="116"/>
      <c r="N284" s="116"/>
      <c r="O284" s="116"/>
      <c r="P284" s="375"/>
      <c r="Q284" s="116"/>
      <c r="R284" s="116"/>
      <c r="S284" s="116"/>
      <c r="T284" s="116"/>
      <c r="U284" s="116"/>
      <c r="V284" s="116"/>
      <c r="W284" s="116"/>
      <c r="X284" s="116"/>
      <c r="Y284" s="116"/>
      <c r="Z284" s="116"/>
      <c r="AA284" s="116"/>
      <c r="AB284" s="116"/>
      <c r="AC284" s="116"/>
      <c r="AD284" s="116"/>
      <c r="AE284" s="116"/>
      <c r="AF284" s="116"/>
      <c r="AG284" s="116"/>
      <c r="AH284" s="1"/>
      <c r="AI284" s="46"/>
      <c r="AJ284" s="46"/>
      <c r="AK284" s="46"/>
      <c r="AL284" s="46"/>
      <c r="AM284" s="46"/>
      <c r="AN284" s="46"/>
      <c r="AO284" s="46"/>
      <c r="AP284" s="46"/>
      <c r="AQ284" s="1"/>
      <c r="AR284" s="15"/>
      <c r="AS284" s="15"/>
      <c r="AT284" s="15"/>
      <c r="AU284" s="15"/>
      <c r="AV284" s="15"/>
      <c r="AW284" s="15"/>
      <c r="AX284" s="15"/>
      <c r="AY284" s="15"/>
      <c r="AZ284" s="15"/>
      <c r="BA284" s="15"/>
      <c r="BB284" s="15"/>
      <c r="BC284" s="15"/>
      <c r="BD284" s="102"/>
      <c r="BE284" s="15"/>
      <c r="BF284" s="15"/>
      <c r="BG284" s="15"/>
      <c r="BH284" s="15"/>
      <c r="BI284" s="15"/>
      <c r="BJ284" s="15"/>
      <c r="BK284" s="15"/>
      <c r="BL284" s="15"/>
      <c r="BM284" s="15"/>
      <c r="BN284" s="15"/>
      <c r="BO284" s="15"/>
      <c r="BP284" s="15"/>
      <c r="BQ284" s="242"/>
      <c r="BR284" s="15"/>
      <c r="BS284" s="15"/>
      <c r="BT284" s="15"/>
      <c r="BU284" s="15"/>
      <c r="BV284" s="15"/>
      <c r="BW284" s="15"/>
      <c r="BX284" s="15"/>
      <c r="BY284" s="15"/>
      <c r="BZ284" s="15"/>
      <c r="CA284" s="15"/>
      <c r="CB284" s="15"/>
      <c r="CC284" s="15"/>
      <c r="CD284" s="15"/>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f t="shared" si="59"/>
        <v>0</v>
      </c>
      <c r="DE284" s="1"/>
      <c r="DF284" s="1"/>
      <c r="DG284" s="1"/>
      <c r="DH284" s="1"/>
      <c r="DI284" s="1"/>
      <c r="DJ284" s="1"/>
      <c r="DK284" s="1"/>
      <c r="DL284" s="1"/>
      <c r="DM284" s="1"/>
      <c r="DN284" s="1"/>
      <c r="DO284" s="1"/>
      <c r="DP284" s="1"/>
      <c r="DQ284" s="1"/>
    </row>
    <row r="285" spans="1:121" x14ac:dyDescent="0.2">
      <c r="A285" s="855"/>
      <c r="B285" s="775"/>
      <c r="C285" s="833"/>
      <c r="D285" s="1" t="s">
        <v>301</v>
      </c>
      <c r="E285" s="1"/>
      <c r="F285" s="1"/>
      <c r="G285" s="775"/>
      <c r="H285" s="1"/>
      <c r="I285" s="1"/>
      <c r="J285" s="1"/>
      <c r="K285" s="1"/>
      <c r="L285" s="116"/>
      <c r="M285" s="116"/>
      <c r="N285" s="116"/>
      <c r="O285" s="116"/>
      <c r="P285" s="375"/>
      <c r="Q285" s="116"/>
      <c r="R285" s="116"/>
      <c r="S285" s="116"/>
      <c r="T285" s="116"/>
      <c r="U285" s="116"/>
      <c r="V285" s="116"/>
      <c r="W285" s="116"/>
      <c r="X285" s="116"/>
      <c r="Y285" s="116"/>
      <c r="Z285" s="116"/>
      <c r="AA285" s="116"/>
      <c r="AB285" s="116"/>
      <c r="AC285" s="116"/>
      <c r="AD285" s="116"/>
      <c r="AE285" s="116"/>
      <c r="AF285" s="116"/>
      <c r="AG285" s="116"/>
      <c r="AH285" s="1"/>
      <c r="AI285" s="46"/>
      <c r="AJ285" s="46"/>
      <c r="AK285" s="46"/>
      <c r="AL285" s="46"/>
      <c r="AM285" s="46"/>
      <c r="AN285" s="46"/>
      <c r="AO285" s="46"/>
      <c r="AP285" s="46"/>
      <c r="AQ285" s="1"/>
      <c r="AR285" s="15"/>
      <c r="AS285" s="15"/>
      <c r="AT285" s="15"/>
      <c r="AU285" s="15"/>
      <c r="AV285" s="15"/>
      <c r="AW285" s="15"/>
      <c r="AX285" s="15"/>
      <c r="AY285" s="15"/>
      <c r="AZ285" s="15"/>
      <c r="BA285" s="15"/>
      <c r="BB285" s="15"/>
      <c r="BC285" s="15"/>
      <c r="BD285" s="102"/>
      <c r="BE285" s="15"/>
      <c r="BF285" s="15"/>
      <c r="BG285" s="15"/>
      <c r="BH285" s="15"/>
      <c r="BI285" s="15"/>
      <c r="BJ285" s="15"/>
      <c r="BK285" s="15"/>
      <c r="BL285" s="15"/>
      <c r="BM285" s="15"/>
      <c r="BN285" s="15"/>
      <c r="BO285" s="15"/>
      <c r="BP285" s="15"/>
      <c r="BQ285" s="242"/>
      <c r="BR285" s="15"/>
      <c r="BS285" s="15"/>
      <c r="BT285" s="15"/>
      <c r="BU285" s="15"/>
      <c r="BV285" s="15"/>
      <c r="BW285" s="15"/>
      <c r="BX285" s="15"/>
      <c r="BY285" s="15"/>
      <c r="BZ285" s="15"/>
      <c r="CA285" s="15"/>
      <c r="CB285" s="15"/>
      <c r="CC285" s="15"/>
      <c r="CD285" s="15"/>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f t="shared" si="59"/>
        <v>0</v>
      </c>
      <c r="DE285" s="1"/>
      <c r="DF285" s="1"/>
      <c r="DG285" s="1"/>
      <c r="DH285" s="1"/>
      <c r="DI285" s="1"/>
      <c r="DJ285" s="1"/>
      <c r="DK285" s="1"/>
      <c r="DL285" s="1"/>
      <c r="DM285" s="1"/>
      <c r="DN285" s="1"/>
      <c r="DO285" s="1"/>
      <c r="DP285" s="1"/>
      <c r="DQ285" s="1"/>
    </row>
    <row r="286" spans="1:121" x14ac:dyDescent="0.2">
      <c r="A286" s="855"/>
      <c r="B286" s="775"/>
      <c r="C286" s="833"/>
      <c r="D286" s="1" t="s">
        <v>1725</v>
      </c>
      <c r="E286" s="1"/>
      <c r="F286" s="1"/>
      <c r="G286" s="775"/>
      <c r="H286" s="1"/>
      <c r="I286" s="1"/>
      <c r="J286" s="1"/>
      <c r="K286" s="1"/>
      <c r="L286" s="116"/>
      <c r="M286" s="116"/>
      <c r="N286" s="116"/>
      <c r="O286" s="116"/>
      <c r="P286" s="375"/>
      <c r="Q286" s="116"/>
      <c r="R286" s="116"/>
      <c r="S286" s="116"/>
      <c r="T286" s="116"/>
      <c r="U286" s="116"/>
      <c r="V286" s="116"/>
      <c r="W286" s="116"/>
      <c r="X286" s="116"/>
      <c r="Y286" s="116"/>
      <c r="Z286" s="116"/>
      <c r="AA286" s="116"/>
      <c r="AB286" s="116"/>
      <c r="AC286" s="116"/>
      <c r="AD286" s="116"/>
      <c r="AE286" s="116"/>
      <c r="AF286" s="116"/>
      <c r="AG286" s="116"/>
      <c r="AH286" s="1"/>
      <c r="AI286" s="46"/>
      <c r="AJ286" s="46"/>
      <c r="AK286" s="46"/>
      <c r="AL286" s="46"/>
      <c r="AM286" s="46"/>
      <c r="AN286" s="46"/>
      <c r="AO286" s="46"/>
      <c r="AP286" s="46"/>
      <c r="AQ286" s="1"/>
      <c r="AR286" s="15"/>
      <c r="AS286" s="15"/>
      <c r="AT286" s="15"/>
      <c r="AU286" s="15"/>
      <c r="AV286" s="15"/>
      <c r="AW286" s="15"/>
      <c r="AX286" s="15"/>
      <c r="AY286" s="15"/>
      <c r="AZ286" s="15"/>
      <c r="BA286" s="15"/>
      <c r="BB286" s="15"/>
      <c r="BC286" s="15"/>
      <c r="BD286" s="102"/>
      <c r="BE286" s="15"/>
      <c r="BF286" s="15"/>
      <c r="BG286" s="15"/>
      <c r="BH286" s="15"/>
      <c r="BI286" s="15"/>
      <c r="BJ286" s="15"/>
      <c r="BK286" s="15"/>
      <c r="BL286" s="15"/>
      <c r="BM286" s="15"/>
      <c r="BN286" s="15"/>
      <c r="BO286" s="15"/>
      <c r="BP286" s="15"/>
      <c r="BQ286" s="242"/>
      <c r="BR286" s="15"/>
      <c r="BS286" s="15"/>
      <c r="BT286" s="15"/>
      <c r="BU286" s="15"/>
      <c r="BV286" s="15"/>
      <c r="BW286" s="15"/>
      <c r="BX286" s="15"/>
      <c r="BY286" s="15"/>
      <c r="BZ286" s="15"/>
      <c r="CA286" s="15"/>
      <c r="CB286" s="15"/>
      <c r="CC286" s="15"/>
      <c r="CD286" s="15"/>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f t="shared" si="59"/>
        <v>0</v>
      </c>
      <c r="DE286" s="1"/>
      <c r="DF286" s="1"/>
      <c r="DG286" s="1"/>
      <c r="DH286" s="1"/>
      <c r="DI286" s="1"/>
      <c r="DJ286" s="1"/>
      <c r="DK286" s="1"/>
      <c r="DL286" s="1"/>
      <c r="DM286" s="1"/>
      <c r="DN286" s="1"/>
      <c r="DO286" s="1"/>
      <c r="DP286" s="1"/>
      <c r="DQ286" s="1"/>
    </row>
    <row r="287" spans="1:121" x14ac:dyDescent="0.2">
      <c r="A287" s="855"/>
      <c r="B287" s="775"/>
      <c r="C287" s="833"/>
      <c r="D287" s="1" t="s">
        <v>1726</v>
      </c>
      <c r="E287" s="1"/>
      <c r="F287" s="1"/>
      <c r="G287" s="775"/>
      <c r="H287" s="1"/>
      <c r="I287" s="1"/>
      <c r="J287" s="1"/>
      <c r="K287" s="1"/>
      <c r="L287" s="116"/>
      <c r="M287" s="116"/>
      <c r="N287" s="116"/>
      <c r="O287" s="116"/>
      <c r="P287" s="375"/>
      <c r="Q287" s="116"/>
      <c r="R287" s="116"/>
      <c r="S287" s="116"/>
      <c r="T287" s="116"/>
      <c r="U287" s="116"/>
      <c r="V287" s="116"/>
      <c r="W287" s="116"/>
      <c r="X287" s="116"/>
      <c r="Y287" s="116"/>
      <c r="Z287" s="116"/>
      <c r="AA287" s="116"/>
      <c r="AB287" s="116"/>
      <c r="AC287" s="116"/>
      <c r="AD287" s="116"/>
      <c r="AE287" s="116"/>
      <c r="AF287" s="116"/>
      <c r="AG287" s="116"/>
      <c r="AH287" s="1"/>
      <c r="AI287" s="46"/>
      <c r="AJ287" s="46"/>
      <c r="AK287" s="46"/>
      <c r="AL287" s="46"/>
      <c r="AM287" s="46"/>
      <c r="AN287" s="46"/>
      <c r="AO287" s="46"/>
      <c r="AP287" s="46"/>
      <c r="AQ287" s="1"/>
      <c r="AR287" s="15"/>
      <c r="AS287" s="15"/>
      <c r="AT287" s="15"/>
      <c r="AU287" s="15"/>
      <c r="AV287" s="15"/>
      <c r="AW287" s="15"/>
      <c r="AX287" s="15"/>
      <c r="AY287" s="15"/>
      <c r="AZ287" s="15"/>
      <c r="BA287" s="15"/>
      <c r="BB287" s="15"/>
      <c r="BC287" s="15"/>
      <c r="BD287" s="102"/>
      <c r="BE287" s="15"/>
      <c r="BF287" s="15"/>
      <c r="BG287" s="15"/>
      <c r="BH287" s="15"/>
      <c r="BI287" s="15"/>
      <c r="BJ287" s="15"/>
      <c r="BK287" s="15"/>
      <c r="BL287" s="15"/>
      <c r="BM287" s="15"/>
      <c r="BN287" s="15"/>
      <c r="BO287" s="15"/>
      <c r="BP287" s="15"/>
      <c r="BQ287" s="242"/>
      <c r="BR287" s="15"/>
      <c r="BS287" s="15"/>
      <c r="BT287" s="15"/>
      <c r="BU287" s="15"/>
      <c r="BV287" s="15"/>
      <c r="BW287" s="15"/>
      <c r="BX287" s="15"/>
      <c r="BY287" s="15"/>
      <c r="BZ287" s="15"/>
      <c r="CA287" s="15"/>
      <c r="CB287" s="15"/>
      <c r="CC287" s="15"/>
      <c r="CD287" s="15"/>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f t="shared" si="59"/>
        <v>0</v>
      </c>
      <c r="DE287" s="1"/>
      <c r="DF287" s="1"/>
      <c r="DG287" s="1"/>
      <c r="DH287" s="1"/>
      <c r="DI287" s="1"/>
      <c r="DJ287" s="1"/>
      <c r="DK287" s="1"/>
      <c r="DL287" s="1"/>
      <c r="DM287" s="1"/>
      <c r="DN287" s="1"/>
      <c r="DO287" s="1"/>
      <c r="DP287" s="1"/>
      <c r="DQ287" s="1"/>
    </row>
    <row r="288" spans="1:121" x14ac:dyDescent="0.2">
      <c r="A288" s="855"/>
      <c r="B288" s="775"/>
      <c r="C288" s="833"/>
      <c r="D288" s="1" t="s">
        <v>1727</v>
      </c>
      <c r="E288" s="1"/>
      <c r="F288" s="1"/>
      <c r="G288" s="775"/>
      <c r="H288" s="1"/>
      <c r="I288" s="1"/>
      <c r="J288" s="1"/>
      <c r="K288" s="1"/>
      <c r="L288" s="116"/>
      <c r="M288" s="116"/>
      <c r="N288" s="116"/>
      <c r="O288" s="116"/>
      <c r="P288" s="375"/>
      <c r="Q288" s="116"/>
      <c r="R288" s="116"/>
      <c r="S288" s="116"/>
      <c r="T288" s="116"/>
      <c r="U288" s="116"/>
      <c r="V288" s="116"/>
      <c r="W288" s="116"/>
      <c r="X288" s="116"/>
      <c r="Y288" s="116"/>
      <c r="Z288" s="116"/>
      <c r="AA288" s="116"/>
      <c r="AB288" s="116"/>
      <c r="AC288" s="116"/>
      <c r="AD288" s="116"/>
      <c r="AE288" s="116"/>
      <c r="AF288" s="116"/>
      <c r="AG288" s="116"/>
      <c r="AH288" s="1"/>
      <c r="AI288" s="46"/>
      <c r="AJ288" s="46"/>
      <c r="AK288" s="46"/>
      <c r="AL288" s="46"/>
      <c r="AM288" s="46"/>
      <c r="AN288" s="46"/>
      <c r="AO288" s="46"/>
      <c r="AP288" s="46"/>
      <c r="AQ288" s="1"/>
      <c r="AR288" s="15"/>
      <c r="AS288" s="15"/>
      <c r="AT288" s="15"/>
      <c r="AU288" s="15"/>
      <c r="AV288" s="15"/>
      <c r="AW288" s="15"/>
      <c r="AX288" s="15"/>
      <c r="AY288" s="15"/>
      <c r="AZ288" s="15"/>
      <c r="BA288" s="15"/>
      <c r="BB288" s="15"/>
      <c r="BC288" s="15"/>
      <c r="BD288" s="102"/>
      <c r="BE288" s="15"/>
      <c r="BF288" s="15"/>
      <c r="BG288" s="15"/>
      <c r="BH288" s="15"/>
      <c r="BI288" s="15"/>
      <c r="BJ288" s="15"/>
      <c r="BK288" s="15"/>
      <c r="BL288" s="15"/>
      <c r="BM288" s="15"/>
      <c r="BN288" s="15"/>
      <c r="BO288" s="15"/>
      <c r="BP288" s="15"/>
      <c r="BQ288" s="242"/>
      <c r="BR288" s="15"/>
      <c r="BS288" s="15"/>
      <c r="BT288" s="15"/>
      <c r="BU288" s="15"/>
      <c r="BV288" s="15"/>
      <c r="BW288" s="15"/>
      <c r="BX288" s="15"/>
      <c r="BY288" s="15"/>
      <c r="BZ288" s="15"/>
      <c r="CA288" s="15"/>
      <c r="CB288" s="15"/>
      <c r="CC288" s="15"/>
      <c r="CD288" s="15"/>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f t="shared" si="59"/>
        <v>0</v>
      </c>
      <c r="DE288" s="1"/>
      <c r="DF288" s="1"/>
      <c r="DG288" s="1"/>
      <c r="DH288" s="1"/>
      <c r="DI288" s="1"/>
      <c r="DJ288" s="1"/>
      <c r="DK288" s="1"/>
      <c r="DL288" s="1"/>
      <c r="DM288" s="1"/>
      <c r="DN288" s="1"/>
      <c r="DO288" s="1"/>
      <c r="DP288" s="1"/>
      <c r="DQ288" s="1"/>
    </row>
    <row r="289" spans="1:121" x14ac:dyDescent="0.2">
      <c r="A289" s="855"/>
      <c r="B289" s="775"/>
      <c r="C289" s="833"/>
      <c r="D289" s="1" t="s">
        <v>1728</v>
      </c>
      <c r="E289" s="1"/>
      <c r="F289" s="1"/>
      <c r="G289" s="775"/>
      <c r="H289" s="1"/>
      <c r="I289" s="1"/>
      <c r="J289" s="1"/>
      <c r="K289" s="1"/>
      <c r="L289" s="116"/>
      <c r="M289" s="116"/>
      <c r="N289" s="116"/>
      <c r="O289" s="116"/>
      <c r="P289" s="375"/>
      <c r="Q289" s="116"/>
      <c r="R289" s="116"/>
      <c r="S289" s="116"/>
      <c r="T289" s="116"/>
      <c r="U289" s="116"/>
      <c r="V289" s="116"/>
      <c r="W289" s="116"/>
      <c r="X289" s="116"/>
      <c r="Y289" s="116"/>
      <c r="Z289" s="116"/>
      <c r="AA289" s="116"/>
      <c r="AB289" s="116"/>
      <c r="AC289" s="116"/>
      <c r="AD289" s="116"/>
      <c r="AE289" s="116"/>
      <c r="AF289" s="116"/>
      <c r="AG289" s="116"/>
      <c r="AH289" s="1"/>
      <c r="AI289" s="46"/>
      <c r="AJ289" s="46"/>
      <c r="AK289" s="46"/>
      <c r="AL289" s="46"/>
      <c r="AM289" s="46"/>
      <c r="AN289" s="46"/>
      <c r="AO289" s="46"/>
      <c r="AP289" s="46"/>
      <c r="AQ289" s="1"/>
      <c r="AR289" s="15"/>
      <c r="AS289" s="15"/>
      <c r="AT289" s="15"/>
      <c r="AU289" s="15"/>
      <c r="AV289" s="15"/>
      <c r="AW289" s="15"/>
      <c r="AX289" s="15"/>
      <c r="AY289" s="15"/>
      <c r="AZ289" s="15"/>
      <c r="BA289" s="15"/>
      <c r="BB289" s="15"/>
      <c r="BC289" s="15"/>
      <c r="BD289" s="102"/>
      <c r="BE289" s="15"/>
      <c r="BF289" s="15"/>
      <c r="BG289" s="15"/>
      <c r="BH289" s="15"/>
      <c r="BI289" s="15"/>
      <c r="BJ289" s="15"/>
      <c r="BK289" s="15"/>
      <c r="BL289" s="15"/>
      <c r="BM289" s="15"/>
      <c r="BN289" s="15"/>
      <c r="BO289" s="15"/>
      <c r="BP289" s="15"/>
      <c r="BQ289" s="242"/>
      <c r="BR289" s="15"/>
      <c r="BS289" s="15"/>
      <c r="BT289" s="15"/>
      <c r="BU289" s="15"/>
      <c r="BV289" s="15"/>
      <c r="BW289" s="15"/>
      <c r="BX289" s="15"/>
      <c r="BY289" s="15"/>
      <c r="BZ289" s="15"/>
      <c r="CA289" s="15"/>
      <c r="CB289" s="15"/>
      <c r="CC289" s="15"/>
      <c r="CD289" s="15"/>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f t="shared" si="59"/>
        <v>0</v>
      </c>
      <c r="DE289" s="1"/>
      <c r="DF289" s="1"/>
      <c r="DG289" s="1"/>
      <c r="DH289" s="1"/>
      <c r="DI289" s="1"/>
      <c r="DJ289" s="1"/>
      <c r="DK289" s="1"/>
      <c r="DL289" s="1"/>
      <c r="DM289" s="1"/>
      <c r="DN289" s="1"/>
      <c r="DO289" s="1"/>
      <c r="DP289" s="1"/>
      <c r="DQ289" s="1"/>
    </row>
    <row r="290" spans="1:121" x14ac:dyDescent="0.2">
      <c r="A290" s="855"/>
      <c r="B290" s="775"/>
      <c r="C290" s="833"/>
      <c r="D290" s="1" t="s">
        <v>1729</v>
      </c>
      <c r="E290" s="1"/>
      <c r="F290" s="1"/>
      <c r="G290" s="775"/>
      <c r="H290" s="1"/>
      <c r="I290" s="1"/>
      <c r="J290" s="1"/>
      <c r="K290" s="1"/>
      <c r="L290" s="116"/>
      <c r="M290" s="116"/>
      <c r="N290" s="116"/>
      <c r="O290" s="116"/>
      <c r="P290" s="375"/>
      <c r="Q290" s="116"/>
      <c r="R290" s="116"/>
      <c r="S290" s="116"/>
      <c r="T290" s="116"/>
      <c r="U290" s="116"/>
      <c r="V290" s="116"/>
      <c r="W290" s="116"/>
      <c r="X290" s="116"/>
      <c r="Y290" s="116"/>
      <c r="Z290" s="116"/>
      <c r="AA290" s="116"/>
      <c r="AB290" s="116"/>
      <c r="AC290" s="116"/>
      <c r="AD290" s="116"/>
      <c r="AE290" s="116"/>
      <c r="AF290" s="116"/>
      <c r="AG290" s="116"/>
      <c r="AH290" s="1"/>
      <c r="AI290" s="46"/>
      <c r="AJ290" s="46"/>
      <c r="AK290" s="46"/>
      <c r="AL290" s="46"/>
      <c r="AM290" s="46"/>
      <c r="AN290" s="46"/>
      <c r="AO290" s="46"/>
      <c r="AP290" s="46"/>
      <c r="AQ290" s="1"/>
      <c r="AR290" s="15"/>
      <c r="AS290" s="15"/>
      <c r="AT290" s="15"/>
      <c r="AU290" s="15"/>
      <c r="AV290" s="15"/>
      <c r="AW290" s="15"/>
      <c r="AX290" s="15"/>
      <c r="AY290" s="15"/>
      <c r="AZ290" s="15"/>
      <c r="BA290" s="15"/>
      <c r="BB290" s="15"/>
      <c r="BC290" s="15"/>
      <c r="BD290" s="102"/>
      <c r="BE290" s="15"/>
      <c r="BF290" s="15"/>
      <c r="BG290" s="15"/>
      <c r="BH290" s="15"/>
      <c r="BI290" s="15"/>
      <c r="BJ290" s="15"/>
      <c r="BK290" s="15"/>
      <c r="BL290" s="15"/>
      <c r="BM290" s="15"/>
      <c r="BN290" s="15"/>
      <c r="BO290" s="15"/>
      <c r="BP290" s="15"/>
      <c r="BQ290" s="242"/>
      <c r="BR290" s="15"/>
      <c r="BS290" s="15"/>
      <c r="BT290" s="15"/>
      <c r="BU290" s="15"/>
      <c r="BV290" s="15"/>
      <c r="BW290" s="15"/>
      <c r="BX290" s="15"/>
      <c r="BY290" s="15"/>
      <c r="BZ290" s="15"/>
      <c r="CA290" s="15"/>
      <c r="CB290" s="15"/>
      <c r="CC290" s="15"/>
      <c r="CD290" s="15"/>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f t="shared" si="59"/>
        <v>0</v>
      </c>
      <c r="DE290" s="1"/>
      <c r="DF290" s="1"/>
      <c r="DG290" s="1"/>
      <c r="DH290" s="1"/>
      <c r="DI290" s="1"/>
      <c r="DJ290" s="1"/>
      <c r="DK290" s="1"/>
      <c r="DL290" s="1"/>
      <c r="DM290" s="1"/>
      <c r="DN290" s="1"/>
      <c r="DO290" s="1"/>
      <c r="DP290" s="1"/>
      <c r="DQ290" s="1"/>
    </row>
    <row r="291" spans="1:121" x14ac:dyDescent="0.2">
      <c r="A291" s="855"/>
      <c r="B291" s="775"/>
      <c r="C291" s="833"/>
      <c r="D291" s="1" t="s">
        <v>1730</v>
      </c>
      <c r="E291" s="1"/>
      <c r="F291" s="1"/>
      <c r="G291" s="775"/>
      <c r="H291" s="1"/>
      <c r="I291" s="1"/>
      <c r="J291" s="1"/>
      <c r="K291" s="1"/>
      <c r="L291" s="116"/>
      <c r="M291" s="116"/>
      <c r="N291" s="116"/>
      <c r="O291" s="116"/>
      <c r="P291" s="375"/>
      <c r="Q291" s="116"/>
      <c r="R291" s="116"/>
      <c r="S291" s="116"/>
      <c r="T291" s="116"/>
      <c r="U291" s="116"/>
      <c r="V291" s="116"/>
      <c r="W291" s="116"/>
      <c r="X291" s="116"/>
      <c r="Y291" s="116"/>
      <c r="Z291" s="116"/>
      <c r="AA291" s="116"/>
      <c r="AB291" s="116"/>
      <c r="AC291" s="116"/>
      <c r="AD291" s="116"/>
      <c r="AE291" s="116"/>
      <c r="AF291" s="116"/>
      <c r="AG291" s="116"/>
      <c r="AH291" s="1"/>
      <c r="AI291" s="46"/>
      <c r="AJ291" s="46"/>
      <c r="AK291" s="46"/>
      <c r="AL291" s="46"/>
      <c r="AM291" s="46"/>
      <c r="AN291" s="46"/>
      <c r="AO291" s="46"/>
      <c r="AP291" s="46"/>
      <c r="AQ291" s="1"/>
      <c r="AR291" s="15"/>
      <c r="AS291" s="15"/>
      <c r="AT291" s="15"/>
      <c r="AU291" s="15"/>
      <c r="AV291" s="15"/>
      <c r="AW291" s="15"/>
      <c r="AX291" s="15"/>
      <c r="AY291" s="15"/>
      <c r="AZ291" s="15"/>
      <c r="BA291" s="15"/>
      <c r="BB291" s="15"/>
      <c r="BC291" s="15"/>
      <c r="BD291" s="102"/>
      <c r="BE291" s="15"/>
      <c r="BF291" s="15"/>
      <c r="BG291" s="15"/>
      <c r="BH291" s="15"/>
      <c r="BI291" s="15"/>
      <c r="BJ291" s="15"/>
      <c r="BK291" s="15"/>
      <c r="BL291" s="15"/>
      <c r="BM291" s="15"/>
      <c r="BN291" s="15"/>
      <c r="BO291" s="15"/>
      <c r="BP291" s="15"/>
      <c r="BQ291" s="242"/>
      <c r="BR291" s="15"/>
      <c r="BS291" s="15"/>
      <c r="BT291" s="15"/>
      <c r="BU291" s="15"/>
      <c r="BV291" s="15"/>
      <c r="BW291" s="15"/>
      <c r="BX291" s="15"/>
      <c r="BY291" s="15"/>
      <c r="BZ291" s="15"/>
      <c r="CA291" s="15"/>
      <c r="CB291" s="15"/>
      <c r="CC291" s="15"/>
      <c r="CD291" s="15"/>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f t="shared" si="59"/>
        <v>0</v>
      </c>
      <c r="DE291" s="1"/>
      <c r="DF291" s="1"/>
      <c r="DG291" s="1"/>
      <c r="DH291" s="1"/>
      <c r="DI291" s="1"/>
      <c r="DJ291" s="1"/>
      <c r="DK291" s="1"/>
      <c r="DL291" s="1"/>
      <c r="DM291" s="1"/>
      <c r="DN291" s="1"/>
      <c r="DO291" s="1"/>
      <c r="DP291" s="1"/>
      <c r="DQ291" s="1"/>
    </row>
    <row r="292" spans="1:121" x14ac:dyDescent="0.2">
      <c r="A292" s="855"/>
      <c r="B292" s="775"/>
      <c r="C292" s="833"/>
      <c r="D292" s="1" t="s">
        <v>1731</v>
      </c>
      <c r="E292" s="1"/>
      <c r="F292" s="1"/>
      <c r="G292" s="775"/>
      <c r="H292" s="1"/>
      <c r="I292" s="1"/>
      <c r="J292" s="1"/>
      <c r="K292" s="1"/>
      <c r="L292" s="116"/>
      <c r="M292" s="116"/>
      <c r="N292" s="116"/>
      <c r="O292" s="116"/>
      <c r="P292" s="375"/>
      <c r="Q292" s="116"/>
      <c r="R292" s="116"/>
      <c r="S292" s="116"/>
      <c r="T292" s="116"/>
      <c r="U292" s="116"/>
      <c r="V292" s="116"/>
      <c r="W292" s="116"/>
      <c r="X292" s="116"/>
      <c r="Y292" s="116"/>
      <c r="Z292" s="116"/>
      <c r="AA292" s="116"/>
      <c r="AB292" s="116"/>
      <c r="AC292" s="116"/>
      <c r="AD292" s="116"/>
      <c r="AE292" s="116"/>
      <c r="AF292" s="116"/>
      <c r="AG292" s="116"/>
      <c r="AH292" s="1"/>
      <c r="AI292" s="46"/>
      <c r="AJ292" s="46"/>
      <c r="AK292" s="46"/>
      <c r="AL292" s="46"/>
      <c r="AM292" s="46"/>
      <c r="AN292" s="46"/>
      <c r="AO292" s="46"/>
      <c r="AP292" s="46"/>
      <c r="AQ292" s="1"/>
      <c r="AR292" s="15"/>
      <c r="AS292" s="15"/>
      <c r="AT292" s="15"/>
      <c r="AU292" s="15"/>
      <c r="AV292" s="15"/>
      <c r="AW292" s="15"/>
      <c r="AX292" s="15"/>
      <c r="AY292" s="15"/>
      <c r="AZ292" s="15"/>
      <c r="BA292" s="15"/>
      <c r="BB292" s="15"/>
      <c r="BC292" s="15"/>
      <c r="BD292" s="102"/>
      <c r="BE292" s="15"/>
      <c r="BF292" s="15"/>
      <c r="BG292" s="15"/>
      <c r="BH292" s="15"/>
      <c r="BI292" s="15"/>
      <c r="BJ292" s="15"/>
      <c r="BK292" s="15"/>
      <c r="BL292" s="15"/>
      <c r="BM292" s="15"/>
      <c r="BN292" s="15"/>
      <c r="BO292" s="15"/>
      <c r="BP292" s="15"/>
      <c r="BQ292" s="242"/>
      <c r="BR292" s="15"/>
      <c r="BS292" s="15"/>
      <c r="BT292" s="15"/>
      <c r="BU292" s="15"/>
      <c r="BV292" s="15"/>
      <c r="BW292" s="15"/>
      <c r="BX292" s="15"/>
      <c r="BY292" s="15"/>
      <c r="BZ292" s="15"/>
      <c r="CA292" s="15"/>
      <c r="CB292" s="15"/>
      <c r="CC292" s="15"/>
      <c r="CD292" s="15"/>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f t="shared" si="59"/>
        <v>0</v>
      </c>
      <c r="DE292" s="1"/>
      <c r="DF292" s="1"/>
      <c r="DG292" s="1"/>
      <c r="DH292" s="1"/>
      <c r="DI292" s="1"/>
      <c r="DJ292" s="1"/>
      <c r="DK292" s="1"/>
      <c r="DL292" s="1"/>
      <c r="DM292" s="1"/>
      <c r="DN292" s="1"/>
      <c r="DO292" s="1"/>
      <c r="DP292" s="1"/>
      <c r="DQ292" s="1"/>
    </row>
    <row r="293" spans="1:121" x14ac:dyDescent="0.2">
      <c r="A293" s="855"/>
      <c r="B293" s="775"/>
      <c r="C293" s="833"/>
      <c r="D293" s="1" t="s">
        <v>1732</v>
      </c>
      <c r="E293" s="1"/>
      <c r="F293" s="1"/>
      <c r="G293" s="775"/>
      <c r="H293" s="1"/>
      <c r="I293" s="1"/>
      <c r="J293" s="1"/>
      <c r="K293" s="1"/>
      <c r="L293" s="116"/>
      <c r="M293" s="116"/>
      <c r="N293" s="116"/>
      <c r="O293" s="116"/>
      <c r="P293" s="375"/>
      <c r="Q293" s="116"/>
      <c r="R293" s="116"/>
      <c r="S293" s="116"/>
      <c r="T293" s="116"/>
      <c r="U293" s="116"/>
      <c r="V293" s="116"/>
      <c r="W293" s="116"/>
      <c r="X293" s="116"/>
      <c r="Y293" s="116"/>
      <c r="Z293" s="116"/>
      <c r="AA293" s="116"/>
      <c r="AB293" s="116"/>
      <c r="AC293" s="116"/>
      <c r="AD293" s="116"/>
      <c r="AE293" s="116"/>
      <c r="AF293" s="116"/>
      <c r="AG293" s="116"/>
      <c r="AH293" s="1"/>
      <c r="AI293" s="46"/>
      <c r="AJ293" s="46"/>
      <c r="AK293" s="46"/>
      <c r="AL293" s="46"/>
      <c r="AM293" s="46"/>
      <c r="AN293" s="46"/>
      <c r="AO293" s="46"/>
      <c r="AP293" s="46"/>
      <c r="AQ293" s="1"/>
      <c r="AR293" s="15"/>
      <c r="AS293" s="15"/>
      <c r="AT293" s="15"/>
      <c r="AU293" s="15"/>
      <c r="AV293" s="15"/>
      <c r="AW293" s="15"/>
      <c r="AX293" s="15"/>
      <c r="AY293" s="15"/>
      <c r="AZ293" s="15"/>
      <c r="BA293" s="15"/>
      <c r="BB293" s="15"/>
      <c r="BC293" s="15"/>
      <c r="BD293" s="102"/>
      <c r="BE293" s="15"/>
      <c r="BF293" s="15"/>
      <c r="BG293" s="15"/>
      <c r="BH293" s="15"/>
      <c r="BI293" s="15"/>
      <c r="BJ293" s="15"/>
      <c r="BK293" s="15"/>
      <c r="BL293" s="15"/>
      <c r="BM293" s="15"/>
      <c r="BN293" s="15"/>
      <c r="BO293" s="15"/>
      <c r="BP293" s="15"/>
      <c r="BQ293" s="242"/>
      <c r="BR293" s="15"/>
      <c r="BS293" s="15"/>
      <c r="BT293" s="15"/>
      <c r="BU293" s="15"/>
      <c r="BV293" s="15"/>
      <c r="BW293" s="15"/>
      <c r="BX293" s="15"/>
      <c r="BY293" s="15"/>
      <c r="BZ293" s="15"/>
      <c r="CA293" s="15"/>
      <c r="CB293" s="15"/>
      <c r="CC293" s="15"/>
      <c r="CD293" s="15"/>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f t="shared" si="59"/>
        <v>0</v>
      </c>
      <c r="DE293" s="1"/>
      <c r="DF293" s="1"/>
      <c r="DG293" s="1"/>
      <c r="DH293" s="1"/>
      <c r="DI293" s="1"/>
      <c r="DJ293" s="1"/>
      <c r="DK293" s="1"/>
      <c r="DL293" s="1"/>
      <c r="DM293" s="1"/>
      <c r="DN293" s="1"/>
      <c r="DO293" s="1"/>
      <c r="DP293" s="1"/>
      <c r="DQ293" s="1"/>
    </row>
    <row r="294" spans="1:121" x14ac:dyDescent="0.2">
      <c r="A294" s="855"/>
      <c r="B294" s="775"/>
      <c r="C294" s="833"/>
      <c r="D294" s="1" t="s">
        <v>1733</v>
      </c>
      <c r="E294" s="1"/>
      <c r="F294" s="1"/>
      <c r="G294" s="775"/>
      <c r="H294" s="1"/>
      <c r="I294" s="1"/>
      <c r="J294" s="1"/>
      <c r="K294" s="1"/>
      <c r="L294" s="116"/>
      <c r="M294" s="116"/>
      <c r="N294" s="116"/>
      <c r="O294" s="116"/>
      <c r="P294" s="375"/>
      <c r="Q294" s="116"/>
      <c r="R294" s="116"/>
      <c r="S294" s="116"/>
      <c r="T294" s="116"/>
      <c r="U294" s="116"/>
      <c r="V294" s="116"/>
      <c r="W294" s="116"/>
      <c r="X294" s="116"/>
      <c r="Y294" s="116"/>
      <c r="Z294" s="116"/>
      <c r="AA294" s="116"/>
      <c r="AB294" s="116"/>
      <c r="AC294" s="116"/>
      <c r="AD294" s="116"/>
      <c r="AE294" s="116"/>
      <c r="AF294" s="116"/>
      <c r="AG294" s="116"/>
      <c r="AH294" s="1"/>
      <c r="AI294" s="46"/>
      <c r="AJ294" s="46"/>
      <c r="AK294" s="46"/>
      <c r="AL294" s="46"/>
      <c r="AM294" s="46"/>
      <c r="AN294" s="46"/>
      <c r="AO294" s="46"/>
      <c r="AP294" s="46"/>
      <c r="AQ294" s="1"/>
      <c r="AR294" s="15"/>
      <c r="AS294" s="15"/>
      <c r="AT294" s="15"/>
      <c r="AU294" s="15"/>
      <c r="AV294" s="15"/>
      <c r="AW294" s="15"/>
      <c r="AX294" s="15"/>
      <c r="AY294" s="15"/>
      <c r="AZ294" s="15"/>
      <c r="BA294" s="15"/>
      <c r="BB294" s="15"/>
      <c r="BC294" s="15"/>
      <c r="BD294" s="102"/>
      <c r="BE294" s="15"/>
      <c r="BF294" s="15"/>
      <c r="BG294" s="15"/>
      <c r="BH294" s="15"/>
      <c r="BI294" s="15"/>
      <c r="BJ294" s="15"/>
      <c r="BK294" s="15"/>
      <c r="BL294" s="15"/>
      <c r="BM294" s="15"/>
      <c r="BN294" s="15"/>
      <c r="BO294" s="15"/>
      <c r="BP294" s="15"/>
      <c r="BQ294" s="242"/>
      <c r="BR294" s="15"/>
      <c r="BS294" s="15"/>
      <c r="BT294" s="15"/>
      <c r="BU294" s="15"/>
      <c r="BV294" s="15"/>
      <c r="BW294" s="15"/>
      <c r="BX294" s="15"/>
      <c r="BY294" s="15"/>
      <c r="BZ294" s="15"/>
      <c r="CA294" s="15"/>
      <c r="CB294" s="15"/>
      <c r="CC294" s="15"/>
      <c r="CD294" s="15"/>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f t="shared" si="59"/>
        <v>0</v>
      </c>
      <c r="DE294" s="1"/>
      <c r="DF294" s="1"/>
      <c r="DG294" s="1"/>
      <c r="DH294" s="1"/>
      <c r="DI294" s="1"/>
      <c r="DJ294" s="1"/>
      <c r="DK294" s="1"/>
      <c r="DL294" s="1"/>
      <c r="DM294" s="1"/>
      <c r="DN294" s="1"/>
      <c r="DO294" s="1"/>
      <c r="DP294" s="1"/>
      <c r="DQ294" s="1"/>
    </row>
    <row r="295" spans="1:121" x14ac:dyDescent="0.2">
      <c r="A295" s="855"/>
      <c r="B295" s="775"/>
      <c r="C295" s="833"/>
      <c r="D295" s="1" t="s">
        <v>1734</v>
      </c>
      <c r="E295" s="1"/>
      <c r="F295" s="1"/>
      <c r="G295" s="775"/>
      <c r="H295" s="1"/>
      <c r="I295" s="1"/>
      <c r="J295" s="1"/>
      <c r="K295" s="1"/>
      <c r="L295" s="116"/>
      <c r="M295" s="116"/>
      <c r="N295" s="116"/>
      <c r="O295" s="116"/>
      <c r="P295" s="375"/>
      <c r="Q295" s="116"/>
      <c r="R295" s="116"/>
      <c r="S295" s="116"/>
      <c r="T295" s="116"/>
      <c r="U295" s="116"/>
      <c r="V295" s="116"/>
      <c r="W295" s="116"/>
      <c r="X295" s="116"/>
      <c r="Y295" s="116"/>
      <c r="Z295" s="116"/>
      <c r="AA295" s="116"/>
      <c r="AB295" s="116"/>
      <c r="AC295" s="116"/>
      <c r="AD295" s="116"/>
      <c r="AE295" s="116"/>
      <c r="AF295" s="116"/>
      <c r="AG295" s="116"/>
      <c r="AH295" s="1"/>
      <c r="AI295" s="46"/>
      <c r="AJ295" s="46"/>
      <c r="AK295" s="46"/>
      <c r="AL295" s="46"/>
      <c r="AM295" s="46"/>
      <c r="AN295" s="46"/>
      <c r="AO295" s="46"/>
      <c r="AP295" s="46"/>
      <c r="AQ295" s="1"/>
      <c r="AR295" s="15"/>
      <c r="AS295" s="15"/>
      <c r="AT295" s="15"/>
      <c r="AU295" s="15"/>
      <c r="AV295" s="15"/>
      <c r="AW295" s="15"/>
      <c r="AX295" s="15"/>
      <c r="AY295" s="15"/>
      <c r="AZ295" s="15"/>
      <c r="BA295" s="15"/>
      <c r="BB295" s="15"/>
      <c r="BC295" s="15"/>
      <c r="BD295" s="102"/>
      <c r="BE295" s="15"/>
      <c r="BF295" s="15"/>
      <c r="BG295" s="15"/>
      <c r="BH295" s="15"/>
      <c r="BI295" s="15"/>
      <c r="BJ295" s="15"/>
      <c r="BK295" s="15"/>
      <c r="BL295" s="15"/>
      <c r="BM295" s="15"/>
      <c r="BN295" s="15"/>
      <c r="BO295" s="15"/>
      <c r="BP295" s="15"/>
      <c r="BQ295" s="242"/>
      <c r="BR295" s="15"/>
      <c r="BS295" s="15"/>
      <c r="BT295" s="15"/>
      <c r="BU295" s="15"/>
      <c r="BV295" s="15"/>
      <c r="BW295" s="15"/>
      <c r="BX295" s="15"/>
      <c r="BY295" s="15"/>
      <c r="BZ295" s="15"/>
      <c r="CA295" s="15"/>
      <c r="CB295" s="15"/>
      <c r="CC295" s="15"/>
      <c r="CD295" s="15"/>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f t="shared" si="59"/>
        <v>0</v>
      </c>
      <c r="DE295" s="1"/>
      <c r="DF295" s="1"/>
      <c r="DG295" s="1"/>
      <c r="DH295" s="1"/>
      <c r="DI295" s="1"/>
      <c r="DJ295" s="1"/>
      <c r="DK295" s="1"/>
      <c r="DL295" s="1"/>
      <c r="DM295" s="1"/>
      <c r="DN295" s="1"/>
      <c r="DO295" s="1"/>
      <c r="DP295" s="1"/>
      <c r="DQ295" s="1"/>
    </row>
    <row r="296" spans="1:121" x14ac:dyDescent="0.2">
      <c r="A296" s="855"/>
      <c r="B296" s="775"/>
      <c r="C296" s="833"/>
      <c r="D296" s="1" t="s">
        <v>1735</v>
      </c>
      <c r="E296" s="1"/>
      <c r="F296" s="1"/>
      <c r="G296" s="775"/>
      <c r="H296" s="1"/>
      <c r="I296" s="1"/>
      <c r="J296" s="1"/>
      <c r="K296" s="1"/>
      <c r="L296" s="116"/>
      <c r="M296" s="116"/>
      <c r="N296" s="116"/>
      <c r="O296" s="116"/>
      <c r="P296" s="375"/>
      <c r="Q296" s="116"/>
      <c r="R296" s="116"/>
      <c r="S296" s="116"/>
      <c r="T296" s="116"/>
      <c r="U296" s="116"/>
      <c r="V296" s="116"/>
      <c r="W296" s="116"/>
      <c r="X296" s="116"/>
      <c r="Y296" s="116"/>
      <c r="Z296" s="116"/>
      <c r="AA296" s="116"/>
      <c r="AB296" s="116"/>
      <c r="AC296" s="116"/>
      <c r="AD296" s="116"/>
      <c r="AE296" s="116"/>
      <c r="AF296" s="116"/>
      <c r="AG296" s="116"/>
      <c r="AH296" s="1"/>
      <c r="AI296" s="46"/>
      <c r="AJ296" s="46"/>
      <c r="AK296" s="46"/>
      <c r="AL296" s="46"/>
      <c r="AM296" s="46"/>
      <c r="AN296" s="46"/>
      <c r="AO296" s="46"/>
      <c r="AP296" s="46"/>
      <c r="AQ296" s="1"/>
      <c r="AR296" s="15"/>
      <c r="AS296" s="15"/>
      <c r="AT296" s="15"/>
      <c r="AU296" s="15"/>
      <c r="AV296" s="15"/>
      <c r="AW296" s="15"/>
      <c r="AX296" s="15"/>
      <c r="AY296" s="15"/>
      <c r="AZ296" s="15"/>
      <c r="BA296" s="15"/>
      <c r="BB296" s="15"/>
      <c r="BC296" s="15"/>
      <c r="BD296" s="102"/>
      <c r="BE296" s="15"/>
      <c r="BF296" s="15"/>
      <c r="BG296" s="15"/>
      <c r="BH296" s="15"/>
      <c r="BI296" s="15"/>
      <c r="BJ296" s="15"/>
      <c r="BK296" s="15"/>
      <c r="BL296" s="15"/>
      <c r="BM296" s="15"/>
      <c r="BN296" s="15"/>
      <c r="BO296" s="15"/>
      <c r="BP296" s="15"/>
      <c r="BQ296" s="242"/>
      <c r="BR296" s="15"/>
      <c r="BS296" s="15"/>
      <c r="BT296" s="15"/>
      <c r="BU296" s="15"/>
      <c r="BV296" s="15"/>
      <c r="BW296" s="15"/>
      <c r="BX296" s="15"/>
      <c r="BY296" s="15"/>
      <c r="BZ296" s="15"/>
      <c r="CA296" s="15"/>
      <c r="CB296" s="15"/>
      <c r="CC296" s="15"/>
      <c r="CD296" s="15"/>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f t="shared" si="59"/>
        <v>0</v>
      </c>
      <c r="DE296" s="1"/>
      <c r="DF296" s="1"/>
      <c r="DG296" s="1"/>
      <c r="DH296" s="1"/>
      <c r="DI296" s="1"/>
      <c r="DJ296" s="1"/>
      <c r="DK296" s="1"/>
      <c r="DL296" s="1"/>
      <c r="DM296" s="1"/>
      <c r="DN296" s="1"/>
      <c r="DO296" s="1"/>
      <c r="DP296" s="1"/>
      <c r="DQ296" s="1"/>
    </row>
    <row r="297" spans="1:121" x14ac:dyDescent="0.2">
      <c r="A297" s="855"/>
      <c r="B297" s="775"/>
      <c r="C297" s="833"/>
      <c r="D297" s="1" t="s">
        <v>1736</v>
      </c>
      <c r="E297" s="1"/>
      <c r="F297" s="1"/>
      <c r="G297" s="775"/>
      <c r="H297" s="1"/>
      <c r="I297" s="1"/>
      <c r="J297" s="1"/>
      <c r="K297" s="1"/>
      <c r="L297" s="116"/>
      <c r="M297" s="116"/>
      <c r="N297" s="116"/>
      <c r="O297" s="116"/>
      <c r="P297" s="375"/>
      <c r="Q297" s="116"/>
      <c r="R297" s="116"/>
      <c r="S297" s="116"/>
      <c r="T297" s="116"/>
      <c r="U297" s="116"/>
      <c r="V297" s="116"/>
      <c r="W297" s="116"/>
      <c r="X297" s="116"/>
      <c r="Y297" s="116"/>
      <c r="Z297" s="116"/>
      <c r="AA297" s="116"/>
      <c r="AB297" s="116"/>
      <c r="AC297" s="116"/>
      <c r="AD297" s="116"/>
      <c r="AE297" s="116"/>
      <c r="AF297" s="116"/>
      <c r="AG297" s="116"/>
      <c r="AH297" s="1"/>
      <c r="AI297" s="46"/>
      <c r="AJ297" s="46"/>
      <c r="AK297" s="46"/>
      <c r="AL297" s="46"/>
      <c r="AM297" s="46"/>
      <c r="AN297" s="46"/>
      <c r="AO297" s="46"/>
      <c r="AP297" s="46"/>
      <c r="AQ297" s="1"/>
      <c r="AR297" s="15"/>
      <c r="AS297" s="15"/>
      <c r="AT297" s="15"/>
      <c r="AU297" s="15"/>
      <c r="AV297" s="15"/>
      <c r="AW297" s="15"/>
      <c r="AX297" s="15"/>
      <c r="AY297" s="15"/>
      <c r="AZ297" s="15"/>
      <c r="BA297" s="15"/>
      <c r="BB297" s="15"/>
      <c r="BC297" s="15"/>
      <c r="BD297" s="102"/>
      <c r="BE297" s="15"/>
      <c r="BF297" s="15"/>
      <c r="BG297" s="15"/>
      <c r="BH297" s="15"/>
      <c r="BI297" s="15"/>
      <c r="BJ297" s="15"/>
      <c r="BK297" s="15"/>
      <c r="BL297" s="15"/>
      <c r="BM297" s="15"/>
      <c r="BN297" s="15"/>
      <c r="BO297" s="15"/>
      <c r="BP297" s="15"/>
      <c r="BQ297" s="242"/>
      <c r="BR297" s="15"/>
      <c r="BS297" s="15"/>
      <c r="BT297" s="15"/>
      <c r="BU297" s="15"/>
      <c r="BV297" s="15"/>
      <c r="BW297" s="15"/>
      <c r="BX297" s="15"/>
      <c r="BY297" s="15"/>
      <c r="BZ297" s="15"/>
      <c r="CA297" s="15"/>
      <c r="CB297" s="15"/>
      <c r="CC297" s="15"/>
      <c r="CD297" s="15"/>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f t="shared" si="59"/>
        <v>0</v>
      </c>
      <c r="DE297" s="1"/>
      <c r="DF297" s="1"/>
      <c r="DG297" s="1"/>
      <c r="DH297" s="1"/>
      <c r="DI297" s="1"/>
      <c r="DJ297" s="1"/>
      <c r="DK297" s="1"/>
      <c r="DL297" s="1"/>
      <c r="DM297" s="1"/>
      <c r="DN297" s="1"/>
      <c r="DO297" s="1"/>
      <c r="DP297" s="1"/>
      <c r="DQ297" s="1"/>
    </row>
    <row r="298" spans="1:121" x14ac:dyDescent="0.2">
      <c r="A298" s="855"/>
      <c r="B298" s="775"/>
      <c r="C298" s="833"/>
      <c r="D298" s="1" t="s">
        <v>1737</v>
      </c>
      <c r="E298" s="1"/>
      <c r="F298" s="1"/>
      <c r="G298" s="775"/>
      <c r="H298" s="1"/>
      <c r="I298" s="1"/>
      <c r="J298" s="1"/>
      <c r="K298" s="1"/>
      <c r="L298" s="116"/>
      <c r="M298" s="116"/>
      <c r="N298" s="116"/>
      <c r="O298" s="116"/>
      <c r="P298" s="375"/>
      <c r="Q298" s="116"/>
      <c r="R298" s="116"/>
      <c r="S298" s="116"/>
      <c r="T298" s="116"/>
      <c r="U298" s="116"/>
      <c r="V298" s="116"/>
      <c r="W298" s="116"/>
      <c r="X298" s="116"/>
      <c r="Y298" s="116"/>
      <c r="Z298" s="116"/>
      <c r="AA298" s="116"/>
      <c r="AB298" s="116"/>
      <c r="AC298" s="116"/>
      <c r="AD298" s="116"/>
      <c r="AE298" s="116"/>
      <c r="AF298" s="116"/>
      <c r="AG298" s="116"/>
      <c r="AH298" s="1"/>
      <c r="AI298" s="46"/>
      <c r="AJ298" s="46"/>
      <c r="AK298" s="46"/>
      <c r="AL298" s="46"/>
      <c r="AM298" s="46"/>
      <c r="AN298" s="46"/>
      <c r="AO298" s="46"/>
      <c r="AP298" s="46"/>
      <c r="AQ298" s="1"/>
      <c r="AR298" s="15"/>
      <c r="AS298" s="15"/>
      <c r="AT298" s="15"/>
      <c r="AU298" s="15"/>
      <c r="AV298" s="15"/>
      <c r="AW298" s="15"/>
      <c r="AX298" s="15"/>
      <c r="AY298" s="15"/>
      <c r="AZ298" s="15"/>
      <c r="BA298" s="15"/>
      <c r="BB298" s="15"/>
      <c r="BC298" s="15"/>
      <c r="BD298" s="102"/>
      <c r="BE298" s="15"/>
      <c r="BF298" s="15"/>
      <c r="BG298" s="15"/>
      <c r="BH298" s="15"/>
      <c r="BI298" s="15"/>
      <c r="BJ298" s="15"/>
      <c r="BK298" s="15"/>
      <c r="BL298" s="15"/>
      <c r="BM298" s="15"/>
      <c r="BN298" s="15"/>
      <c r="BO298" s="15"/>
      <c r="BP298" s="15"/>
      <c r="BQ298" s="242"/>
      <c r="BR298" s="15"/>
      <c r="BS298" s="15"/>
      <c r="BT298" s="15"/>
      <c r="BU298" s="15"/>
      <c r="BV298" s="15"/>
      <c r="BW298" s="15"/>
      <c r="BX298" s="15"/>
      <c r="BY298" s="15"/>
      <c r="BZ298" s="15"/>
      <c r="CA298" s="15"/>
      <c r="CB298" s="15"/>
      <c r="CC298" s="15"/>
      <c r="CD298" s="15"/>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f t="shared" si="59"/>
        <v>0</v>
      </c>
      <c r="DE298" s="1"/>
      <c r="DF298" s="1"/>
      <c r="DG298" s="1"/>
      <c r="DH298" s="1"/>
      <c r="DI298" s="1"/>
      <c r="DJ298" s="1"/>
      <c r="DK298" s="1"/>
      <c r="DL298" s="1"/>
      <c r="DM298" s="1"/>
      <c r="DN298" s="1"/>
      <c r="DO298" s="1"/>
      <c r="DP298" s="1"/>
      <c r="DQ298" s="1"/>
    </row>
    <row r="299" spans="1:121" x14ac:dyDescent="0.2">
      <c r="A299" s="855"/>
      <c r="B299" s="775"/>
      <c r="C299" s="833"/>
      <c r="D299" s="1" t="s">
        <v>1738</v>
      </c>
      <c r="E299" s="1"/>
      <c r="F299" s="1"/>
      <c r="G299" s="775"/>
      <c r="H299" s="1"/>
      <c r="I299" s="1"/>
      <c r="J299" s="1"/>
      <c r="K299" s="1"/>
      <c r="L299" s="116"/>
      <c r="M299" s="116"/>
      <c r="N299" s="116"/>
      <c r="O299" s="116"/>
      <c r="P299" s="375"/>
      <c r="Q299" s="116"/>
      <c r="R299" s="116"/>
      <c r="S299" s="116"/>
      <c r="T299" s="116"/>
      <c r="U299" s="116"/>
      <c r="V299" s="116"/>
      <c r="W299" s="116"/>
      <c r="X299" s="116"/>
      <c r="Y299" s="116"/>
      <c r="Z299" s="116"/>
      <c r="AA299" s="116"/>
      <c r="AB299" s="116"/>
      <c r="AC299" s="116"/>
      <c r="AD299" s="116"/>
      <c r="AE299" s="116"/>
      <c r="AF299" s="116"/>
      <c r="AG299" s="116"/>
      <c r="AH299" s="1"/>
      <c r="AI299" s="46"/>
      <c r="AJ299" s="46"/>
      <c r="AK299" s="46"/>
      <c r="AL299" s="46"/>
      <c r="AM299" s="46"/>
      <c r="AN299" s="46"/>
      <c r="AO299" s="46"/>
      <c r="AP299" s="46"/>
      <c r="AQ299" s="1"/>
      <c r="AR299" s="15"/>
      <c r="AS299" s="15"/>
      <c r="AT299" s="15"/>
      <c r="AU299" s="15"/>
      <c r="AV299" s="15"/>
      <c r="AW299" s="15"/>
      <c r="AX299" s="15"/>
      <c r="AY299" s="15"/>
      <c r="AZ299" s="15"/>
      <c r="BA299" s="15"/>
      <c r="BB299" s="15"/>
      <c r="BC299" s="15"/>
      <c r="BD299" s="102"/>
      <c r="BE299" s="15"/>
      <c r="BF299" s="15"/>
      <c r="BG299" s="15"/>
      <c r="BH299" s="15"/>
      <c r="BI299" s="15"/>
      <c r="BJ299" s="15"/>
      <c r="BK299" s="15"/>
      <c r="BL299" s="15"/>
      <c r="BM299" s="15"/>
      <c r="BN299" s="15"/>
      <c r="BO299" s="15"/>
      <c r="BP299" s="15"/>
      <c r="BQ299" s="242"/>
      <c r="BR299" s="15"/>
      <c r="BS299" s="15"/>
      <c r="BT299" s="15"/>
      <c r="BU299" s="15"/>
      <c r="BV299" s="15"/>
      <c r="BW299" s="15"/>
      <c r="BX299" s="15"/>
      <c r="BY299" s="15"/>
      <c r="BZ299" s="15"/>
      <c r="CA299" s="15"/>
      <c r="CB299" s="15"/>
      <c r="CC299" s="15"/>
      <c r="CD299" s="15"/>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f t="shared" si="59"/>
        <v>0</v>
      </c>
      <c r="DE299" s="1"/>
      <c r="DF299" s="1"/>
      <c r="DG299" s="1"/>
      <c r="DH299" s="1"/>
      <c r="DI299" s="1"/>
      <c r="DJ299" s="1"/>
      <c r="DK299" s="1"/>
      <c r="DL299" s="1"/>
      <c r="DM299" s="1"/>
      <c r="DN299" s="1"/>
      <c r="DO299" s="1"/>
      <c r="DP299" s="1"/>
      <c r="DQ299" s="1"/>
    </row>
    <row r="300" spans="1:121" x14ac:dyDescent="0.2">
      <c r="A300" s="855"/>
      <c r="B300" s="775"/>
      <c r="C300" s="833"/>
      <c r="D300" s="1" t="s">
        <v>1739</v>
      </c>
      <c r="E300" s="1"/>
      <c r="F300" s="1"/>
      <c r="G300" s="775"/>
      <c r="H300" s="1"/>
      <c r="I300" s="1"/>
      <c r="J300" s="1"/>
      <c r="K300" s="1"/>
      <c r="L300" s="116"/>
      <c r="M300" s="116"/>
      <c r="N300" s="116"/>
      <c r="O300" s="116"/>
      <c r="P300" s="375"/>
      <c r="Q300" s="116"/>
      <c r="R300" s="116"/>
      <c r="S300" s="116"/>
      <c r="T300" s="116"/>
      <c r="U300" s="116"/>
      <c r="V300" s="116"/>
      <c r="W300" s="116"/>
      <c r="X300" s="116"/>
      <c r="Y300" s="116"/>
      <c r="Z300" s="116"/>
      <c r="AA300" s="116"/>
      <c r="AB300" s="116"/>
      <c r="AC300" s="116"/>
      <c r="AD300" s="116"/>
      <c r="AE300" s="116"/>
      <c r="AF300" s="116"/>
      <c r="AG300" s="116"/>
      <c r="AH300" s="1"/>
      <c r="AI300" s="46"/>
      <c r="AJ300" s="46"/>
      <c r="AK300" s="46"/>
      <c r="AL300" s="46"/>
      <c r="AM300" s="46"/>
      <c r="AN300" s="46"/>
      <c r="AO300" s="46"/>
      <c r="AP300" s="46"/>
      <c r="AQ300" s="1"/>
      <c r="AR300" s="15"/>
      <c r="AS300" s="15"/>
      <c r="AT300" s="15"/>
      <c r="AU300" s="15"/>
      <c r="AV300" s="15"/>
      <c r="AW300" s="15"/>
      <c r="AX300" s="15"/>
      <c r="AY300" s="15"/>
      <c r="AZ300" s="15"/>
      <c r="BA300" s="15"/>
      <c r="BB300" s="15"/>
      <c r="BC300" s="15"/>
      <c r="BD300" s="102"/>
      <c r="BE300" s="15"/>
      <c r="BF300" s="15"/>
      <c r="BG300" s="15"/>
      <c r="BH300" s="15"/>
      <c r="BI300" s="15"/>
      <c r="BJ300" s="15"/>
      <c r="BK300" s="15"/>
      <c r="BL300" s="15"/>
      <c r="BM300" s="15"/>
      <c r="BN300" s="15"/>
      <c r="BO300" s="15"/>
      <c r="BP300" s="15"/>
      <c r="BQ300" s="242"/>
      <c r="BR300" s="15"/>
      <c r="BS300" s="15"/>
      <c r="BT300" s="15"/>
      <c r="BU300" s="15"/>
      <c r="BV300" s="15"/>
      <c r="BW300" s="15"/>
      <c r="BX300" s="15"/>
      <c r="BY300" s="15"/>
      <c r="BZ300" s="15"/>
      <c r="CA300" s="15"/>
      <c r="CB300" s="15"/>
      <c r="CC300" s="15"/>
      <c r="CD300" s="15"/>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f t="shared" si="59"/>
        <v>0</v>
      </c>
      <c r="DE300" s="1"/>
      <c r="DF300" s="1"/>
      <c r="DG300" s="1"/>
      <c r="DH300" s="1"/>
      <c r="DI300" s="1"/>
      <c r="DJ300" s="1"/>
      <c r="DK300" s="1"/>
      <c r="DL300" s="1"/>
      <c r="DM300" s="1"/>
      <c r="DN300" s="1"/>
      <c r="DO300" s="1"/>
      <c r="DP300" s="1"/>
      <c r="DQ300" s="1"/>
    </row>
    <row r="301" spans="1:121" x14ac:dyDescent="0.2">
      <c r="A301" s="855"/>
      <c r="B301" s="775"/>
      <c r="C301" s="833"/>
      <c r="D301" s="1" t="s">
        <v>1740</v>
      </c>
      <c r="E301" s="1"/>
      <c r="F301" s="1"/>
      <c r="G301" s="775"/>
      <c r="H301" s="1"/>
      <c r="I301" s="1"/>
      <c r="J301" s="1"/>
      <c r="K301" s="1"/>
      <c r="L301" s="116"/>
      <c r="M301" s="116"/>
      <c r="N301" s="116"/>
      <c r="O301" s="116"/>
      <c r="P301" s="375"/>
      <c r="Q301" s="116"/>
      <c r="R301" s="116"/>
      <c r="S301" s="116"/>
      <c r="T301" s="116"/>
      <c r="U301" s="116"/>
      <c r="V301" s="116"/>
      <c r="W301" s="116"/>
      <c r="X301" s="116"/>
      <c r="Y301" s="116"/>
      <c r="Z301" s="116"/>
      <c r="AA301" s="116"/>
      <c r="AB301" s="116"/>
      <c r="AC301" s="116"/>
      <c r="AD301" s="116"/>
      <c r="AE301" s="116"/>
      <c r="AF301" s="116"/>
      <c r="AG301" s="116"/>
      <c r="AH301" s="1"/>
      <c r="AI301" s="46"/>
      <c r="AJ301" s="46"/>
      <c r="AK301" s="46"/>
      <c r="AL301" s="46"/>
      <c r="AM301" s="46"/>
      <c r="AN301" s="46"/>
      <c r="AO301" s="46"/>
      <c r="AP301" s="46"/>
      <c r="AQ301" s="1"/>
      <c r="AR301" s="15"/>
      <c r="AS301" s="15"/>
      <c r="AT301" s="15"/>
      <c r="AU301" s="15"/>
      <c r="AV301" s="15"/>
      <c r="AW301" s="15"/>
      <c r="AX301" s="15"/>
      <c r="AY301" s="15"/>
      <c r="AZ301" s="15"/>
      <c r="BA301" s="15"/>
      <c r="BB301" s="15"/>
      <c r="BC301" s="15"/>
      <c r="BD301" s="102"/>
      <c r="BE301" s="15"/>
      <c r="BF301" s="15"/>
      <c r="BG301" s="15"/>
      <c r="BH301" s="15"/>
      <c r="BI301" s="15"/>
      <c r="BJ301" s="15"/>
      <c r="BK301" s="15"/>
      <c r="BL301" s="15"/>
      <c r="BM301" s="15"/>
      <c r="BN301" s="15"/>
      <c r="BO301" s="15"/>
      <c r="BP301" s="15"/>
      <c r="BQ301" s="242"/>
      <c r="BR301" s="15"/>
      <c r="BS301" s="15"/>
      <c r="BT301" s="15"/>
      <c r="BU301" s="15"/>
      <c r="BV301" s="15"/>
      <c r="BW301" s="15"/>
      <c r="BX301" s="15"/>
      <c r="BY301" s="15"/>
      <c r="BZ301" s="15"/>
      <c r="CA301" s="15"/>
      <c r="CB301" s="15"/>
      <c r="CC301" s="15"/>
      <c r="CD301" s="15"/>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f t="shared" si="59"/>
        <v>0</v>
      </c>
      <c r="DE301" s="1"/>
      <c r="DF301" s="1"/>
      <c r="DG301" s="1"/>
      <c r="DH301" s="1"/>
      <c r="DI301" s="1"/>
      <c r="DJ301" s="1"/>
      <c r="DK301" s="1"/>
      <c r="DL301" s="1"/>
      <c r="DM301" s="1"/>
      <c r="DN301" s="1"/>
      <c r="DO301" s="1"/>
      <c r="DP301" s="1"/>
      <c r="DQ301" s="1"/>
    </row>
    <row r="302" spans="1:121" x14ac:dyDescent="0.2">
      <c r="A302" s="855"/>
      <c r="B302" s="775"/>
      <c r="C302" s="833"/>
      <c r="D302" s="1" t="s">
        <v>1741</v>
      </c>
      <c r="E302" s="1"/>
      <c r="F302" s="1"/>
      <c r="G302" s="775"/>
      <c r="H302" s="1"/>
      <c r="I302" s="1"/>
      <c r="J302" s="1"/>
      <c r="K302" s="1"/>
      <c r="L302" s="116"/>
      <c r="M302" s="116"/>
      <c r="N302" s="116"/>
      <c r="O302" s="116"/>
      <c r="P302" s="375"/>
      <c r="Q302" s="116"/>
      <c r="R302" s="116"/>
      <c r="S302" s="116"/>
      <c r="T302" s="116"/>
      <c r="U302" s="116"/>
      <c r="V302" s="116"/>
      <c r="W302" s="116"/>
      <c r="X302" s="116"/>
      <c r="Y302" s="116"/>
      <c r="Z302" s="116"/>
      <c r="AA302" s="116"/>
      <c r="AB302" s="116"/>
      <c r="AC302" s="116"/>
      <c r="AD302" s="116"/>
      <c r="AE302" s="116"/>
      <c r="AF302" s="116"/>
      <c r="AG302" s="116"/>
      <c r="AH302" s="1"/>
      <c r="AI302" s="46"/>
      <c r="AJ302" s="46"/>
      <c r="AK302" s="46"/>
      <c r="AL302" s="46"/>
      <c r="AM302" s="46"/>
      <c r="AN302" s="46"/>
      <c r="AO302" s="46"/>
      <c r="AP302" s="46"/>
      <c r="AQ302" s="1"/>
      <c r="AR302" s="15"/>
      <c r="AS302" s="15"/>
      <c r="AT302" s="15"/>
      <c r="AU302" s="15"/>
      <c r="AV302" s="15"/>
      <c r="AW302" s="15"/>
      <c r="AX302" s="15"/>
      <c r="AY302" s="15"/>
      <c r="AZ302" s="15"/>
      <c r="BA302" s="15"/>
      <c r="BB302" s="15"/>
      <c r="BC302" s="15"/>
      <c r="BD302" s="102"/>
      <c r="BE302" s="15"/>
      <c r="BF302" s="15"/>
      <c r="BG302" s="15"/>
      <c r="BH302" s="15"/>
      <c r="BI302" s="15"/>
      <c r="BJ302" s="15"/>
      <c r="BK302" s="15"/>
      <c r="BL302" s="15"/>
      <c r="BM302" s="15"/>
      <c r="BN302" s="15"/>
      <c r="BO302" s="15"/>
      <c r="BP302" s="15"/>
      <c r="BQ302" s="242"/>
      <c r="BR302" s="15"/>
      <c r="BS302" s="15"/>
      <c r="BT302" s="15"/>
      <c r="BU302" s="15"/>
      <c r="BV302" s="15"/>
      <c r="BW302" s="15"/>
      <c r="BX302" s="15"/>
      <c r="BY302" s="15"/>
      <c r="BZ302" s="15"/>
      <c r="CA302" s="15"/>
      <c r="CB302" s="15"/>
      <c r="CC302" s="15"/>
      <c r="CD302" s="15"/>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f t="shared" si="59"/>
        <v>0</v>
      </c>
      <c r="DE302" s="1"/>
      <c r="DF302" s="1"/>
      <c r="DG302" s="1"/>
      <c r="DH302" s="1"/>
      <c r="DI302" s="1"/>
      <c r="DJ302" s="1"/>
      <c r="DK302" s="1"/>
      <c r="DL302" s="1"/>
      <c r="DM302" s="1"/>
      <c r="DN302" s="1"/>
      <c r="DO302" s="1"/>
      <c r="DP302" s="1"/>
      <c r="DQ302" s="1"/>
    </row>
    <row r="303" spans="1:121" x14ac:dyDescent="0.2">
      <c r="A303" s="855"/>
      <c r="B303" s="775"/>
      <c r="C303" s="833"/>
      <c r="D303" s="1" t="s">
        <v>1742</v>
      </c>
      <c r="E303" s="1"/>
      <c r="F303" s="1"/>
      <c r="G303" s="775"/>
      <c r="H303" s="1"/>
      <c r="I303" s="1"/>
      <c r="J303" s="1"/>
      <c r="K303" s="1"/>
      <c r="L303" s="116"/>
      <c r="M303" s="116"/>
      <c r="N303" s="116"/>
      <c r="O303" s="116"/>
      <c r="P303" s="375"/>
      <c r="Q303" s="116"/>
      <c r="R303" s="116"/>
      <c r="S303" s="116"/>
      <c r="T303" s="116"/>
      <c r="U303" s="116"/>
      <c r="V303" s="116"/>
      <c r="W303" s="116"/>
      <c r="X303" s="116"/>
      <c r="Y303" s="116"/>
      <c r="Z303" s="116"/>
      <c r="AA303" s="116"/>
      <c r="AB303" s="116"/>
      <c r="AC303" s="116"/>
      <c r="AD303" s="116"/>
      <c r="AE303" s="116"/>
      <c r="AF303" s="116"/>
      <c r="AG303" s="116"/>
      <c r="AH303" s="1"/>
      <c r="AI303" s="46"/>
      <c r="AJ303" s="46"/>
      <c r="AK303" s="46"/>
      <c r="AL303" s="46"/>
      <c r="AM303" s="46"/>
      <c r="AN303" s="46"/>
      <c r="AO303" s="46"/>
      <c r="AP303" s="46"/>
      <c r="AQ303" s="1"/>
      <c r="AR303" s="15"/>
      <c r="AS303" s="15"/>
      <c r="AT303" s="15"/>
      <c r="AU303" s="15"/>
      <c r="AV303" s="15"/>
      <c r="AW303" s="15"/>
      <c r="AX303" s="15"/>
      <c r="AY303" s="15"/>
      <c r="AZ303" s="15"/>
      <c r="BA303" s="15"/>
      <c r="BB303" s="15"/>
      <c r="BC303" s="15"/>
      <c r="BD303" s="102"/>
      <c r="BE303" s="15"/>
      <c r="BF303" s="15"/>
      <c r="BG303" s="15"/>
      <c r="BH303" s="15"/>
      <c r="BI303" s="15"/>
      <c r="BJ303" s="15"/>
      <c r="BK303" s="15"/>
      <c r="BL303" s="15"/>
      <c r="BM303" s="15"/>
      <c r="BN303" s="15"/>
      <c r="BO303" s="15"/>
      <c r="BP303" s="15"/>
      <c r="BQ303" s="242"/>
      <c r="BR303" s="15"/>
      <c r="BS303" s="15"/>
      <c r="BT303" s="15"/>
      <c r="BU303" s="15"/>
      <c r="BV303" s="15"/>
      <c r="BW303" s="15"/>
      <c r="BX303" s="15"/>
      <c r="BY303" s="15"/>
      <c r="BZ303" s="15"/>
      <c r="CA303" s="15"/>
      <c r="CB303" s="15"/>
      <c r="CC303" s="15"/>
      <c r="CD303" s="15"/>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f t="shared" si="59"/>
        <v>0</v>
      </c>
      <c r="DE303" s="1"/>
      <c r="DF303" s="1"/>
      <c r="DG303" s="1"/>
      <c r="DH303" s="1"/>
      <c r="DI303" s="1"/>
      <c r="DJ303" s="1"/>
      <c r="DK303" s="1"/>
      <c r="DL303" s="1"/>
      <c r="DM303" s="1"/>
      <c r="DN303" s="1"/>
      <c r="DO303" s="1"/>
      <c r="DP303" s="1"/>
      <c r="DQ303" s="1"/>
    </row>
    <row r="304" spans="1:121" x14ac:dyDescent="0.2">
      <c r="A304" s="855"/>
      <c r="B304" s="775"/>
      <c r="C304" s="833"/>
      <c r="D304" s="1" t="s">
        <v>1743</v>
      </c>
      <c r="E304" s="1"/>
      <c r="F304" s="1"/>
      <c r="G304" s="775"/>
      <c r="H304" s="1"/>
      <c r="I304" s="1"/>
      <c r="J304" s="1"/>
      <c r="K304" s="1"/>
      <c r="L304" s="116"/>
      <c r="M304" s="116"/>
      <c r="N304" s="116"/>
      <c r="O304" s="116"/>
      <c r="P304" s="375"/>
      <c r="Q304" s="116"/>
      <c r="R304" s="116"/>
      <c r="S304" s="116"/>
      <c r="T304" s="116"/>
      <c r="U304" s="116"/>
      <c r="V304" s="116"/>
      <c r="W304" s="116"/>
      <c r="X304" s="116"/>
      <c r="Y304" s="116"/>
      <c r="Z304" s="116"/>
      <c r="AA304" s="116"/>
      <c r="AB304" s="116"/>
      <c r="AC304" s="116"/>
      <c r="AD304" s="116"/>
      <c r="AE304" s="116"/>
      <c r="AF304" s="116"/>
      <c r="AG304" s="116"/>
      <c r="AH304" s="1"/>
      <c r="AI304" s="46"/>
      <c r="AJ304" s="46"/>
      <c r="AK304" s="46"/>
      <c r="AL304" s="46"/>
      <c r="AM304" s="46"/>
      <c r="AN304" s="46"/>
      <c r="AO304" s="46"/>
      <c r="AP304" s="46"/>
      <c r="AQ304" s="1"/>
      <c r="AR304" s="15"/>
      <c r="AS304" s="15"/>
      <c r="AT304" s="15"/>
      <c r="AU304" s="15"/>
      <c r="AV304" s="15"/>
      <c r="AW304" s="15"/>
      <c r="AX304" s="15"/>
      <c r="AY304" s="15"/>
      <c r="AZ304" s="15"/>
      <c r="BA304" s="15"/>
      <c r="BB304" s="15"/>
      <c r="BC304" s="15"/>
      <c r="BD304" s="102"/>
      <c r="BE304" s="15"/>
      <c r="BF304" s="15"/>
      <c r="BG304" s="15"/>
      <c r="BH304" s="15"/>
      <c r="BI304" s="15"/>
      <c r="BJ304" s="15"/>
      <c r="BK304" s="15"/>
      <c r="BL304" s="15"/>
      <c r="BM304" s="15"/>
      <c r="BN304" s="15"/>
      <c r="BO304" s="15"/>
      <c r="BP304" s="15"/>
      <c r="BQ304" s="242"/>
      <c r="BR304" s="15"/>
      <c r="BS304" s="15"/>
      <c r="BT304" s="15"/>
      <c r="BU304" s="15"/>
      <c r="BV304" s="15"/>
      <c r="BW304" s="15"/>
      <c r="BX304" s="15"/>
      <c r="BY304" s="15"/>
      <c r="BZ304" s="15"/>
      <c r="CA304" s="15"/>
      <c r="CB304" s="15"/>
      <c r="CC304" s="15"/>
      <c r="CD304" s="15"/>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f t="shared" si="59"/>
        <v>0</v>
      </c>
      <c r="DE304" s="1"/>
      <c r="DF304" s="1"/>
      <c r="DG304" s="1"/>
      <c r="DH304" s="1"/>
      <c r="DI304" s="1"/>
      <c r="DJ304" s="1"/>
      <c r="DK304" s="1"/>
      <c r="DL304" s="1"/>
      <c r="DM304" s="1"/>
      <c r="DN304" s="1"/>
      <c r="DO304" s="1"/>
      <c r="DP304" s="1"/>
      <c r="DQ304" s="1"/>
    </row>
    <row r="305" spans="1:121" x14ac:dyDescent="0.2">
      <c r="A305" s="855"/>
      <c r="B305" s="775"/>
      <c r="C305" s="833"/>
      <c r="D305" s="1" t="s">
        <v>1744</v>
      </c>
      <c r="E305" s="1"/>
      <c r="F305" s="1"/>
      <c r="G305" s="775"/>
      <c r="H305" s="1"/>
      <c r="I305" s="1"/>
      <c r="J305" s="1"/>
      <c r="K305" s="1"/>
      <c r="L305" s="116"/>
      <c r="M305" s="116"/>
      <c r="N305" s="116"/>
      <c r="O305" s="116"/>
      <c r="P305" s="375"/>
      <c r="Q305" s="116"/>
      <c r="R305" s="116"/>
      <c r="S305" s="116"/>
      <c r="T305" s="116"/>
      <c r="U305" s="116"/>
      <c r="V305" s="116"/>
      <c r="W305" s="116"/>
      <c r="X305" s="116"/>
      <c r="Y305" s="116"/>
      <c r="Z305" s="116"/>
      <c r="AA305" s="116"/>
      <c r="AB305" s="116"/>
      <c r="AC305" s="116"/>
      <c r="AD305" s="116"/>
      <c r="AE305" s="116"/>
      <c r="AF305" s="116"/>
      <c r="AG305" s="116"/>
      <c r="AH305" s="1"/>
      <c r="AI305" s="46"/>
      <c r="AJ305" s="46"/>
      <c r="AK305" s="46"/>
      <c r="AL305" s="46"/>
      <c r="AM305" s="46"/>
      <c r="AN305" s="46"/>
      <c r="AO305" s="46"/>
      <c r="AP305" s="46"/>
      <c r="AQ305" s="1"/>
      <c r="AR305" s="15"/>
      <c r="AS305" s="15"/>
      <c r="AT305" s="15"/>
      <c r="AU305" s="15"/>
      <c r="AV305" s="15"/>
      <c r="AW305" s="15"/>
      <c r="AX305" s="15"/>
      <c r="AY305" s="15"/>
      <c r="AZ305" s="15"/>
      <c r="BA305" s="15"/>
      <c r="BB305" s="15"/>
      <c r="BC305" s="15"/>
      <c r="BD305" s="102"/>
      <c r="BE305" s="15"/>
      <c r="BF305" s="15"/>
      <c r="BG305" s="15"/>
      <c r="BH305" s="15"/>
      <c r="BI305" s="15"/>
      <c r="BJ305" s="15"/>
      <c r="BK305" s="15"/>
      <c r="BL305" s="15"/>
      <c r="BM305" s="15"/>
      <c r="BN305" s="15"/>
      <c r="BO305" s="15"/>
      <c r="BP305" s="15"/>
      <c r="BQ305" s="242"/>
      <c r="BR305" s="15"/>
      <c r="BS305" s="15"/>
      <c r="BT305" s="15"/>
      <c r="BU305" s="15"/>
      <c r="BV305" s="15"/>
      <c r="BW305" s="15"/>
      <c r="BX305" s="15"/>
      <c r="BY305" s="15"/>
      <c r="BZ305" s="15"/>
      <c r="CA305" s="15"/>
      <c r="CB305" s="15"/>
      <c r="CC305" s="15"/>
      <c r="CD305" s="15"/>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f t="shared" si="59"/>
        <v>0</v>
      </c>
      <c r="DE305" s="1"/>
      <c r="DF305" s="1"/>
      <c r="DG305" s="1"/>
      <c r="DH305" s="1"/>
      <c r="DI305" s="1"/>
      <c r="DJ305" s="1"/>
      <c r="DK305" s="1"/>
      <c r="DL305" s="1"/>
      <c r="DM305" s="1"/>
      <c r="DN305" s="1"/>
      <c r="DO305" s="1"/>
      <c r="DP305" s="1"/>
      <c r="DQ305" s="1"/>
    </row>
    <row r="306" spans="1:121" x14ac:dyDescent="0.2">
      <c r="A306" s="855"/>
      <c r="B306" s="775"/>
      <c r="C306" s="833"/>
      <c r="D306" s="1" t="s">
        <v>1745</v>
      </c>
      <c r="E306" s="1"/>
      <c r="F306" s="1"/>
      <c r="G306" s="775"/>
      <c r="H306" s="1"/>
      <c r="I306" s="1"/>
      <c r="J306" s="1"/>
      <c r="K306" s="1"/>
      <c r="L306" s="116"/>
      <c r="M306" s="116"/>
      <c r="N306" s="116"/>
      <c r="O306" s="116"/>
      <c r="P306" s="375"/>
      <c r="Q306" s="116"/>
      <c r="R306" s="116"/>
      <c r="S306" s="116"/>
      <c r="T306" s="116"/>
      <c r="U306" s="116"/>
      <c r="V306" s="116"/>
      <c r="W306" s="116"/>
      <c r="X306" s="116"/>
      <c r="Y306" s="116"/>
      <c r="Z306" s="116"/>
      <c r="AA306" s="116"/>
      <c r="AB306" s="116"/>
      <c r="AC306" s="116"/>
      <c r="AD306" s="116"/>
      <c r="AE306" s="116"/>
      <c r="AF306" s="116"/>
      <c r="AG306" s="116"/>
      <c r="AH306" s="1"/>
      <c r="AI306" s="46"/>
      <c r="AJ306" s="46"/>
      <c r="AK306" s="46"/>
      <c r="AL306" s="46"/>
      <c r="AM306" s="46"/>
      <c r="AN306" s="46"/>
      <c r="AO306" s="46"/>
      <c r="AP306" s="46"/>
      <c r="AQ306" s="1"/>
      <c r="AR306" s="15"/>
      <c r="AS306" s="15"/>
      <c r="AT306" s="15"/>
      <c r="AU306" s="15"/>
      <c r="AV306" s="15"/>
      <c r="AW306" s="15"/>
      <c r="AX306" s="15"/>
      <c r="AY306" s="15"/>
      <c r="AZ306" s="15"/>
      <c r="BA306" s="15"/>
      <c r="BB306" s="15"/>
      <c r="BC306" s="15"/>
      <c r="BD306" s="102"/>
      <c r="BE306" s="15"/>
      <c r="BF306" s="15"/>
      <c r="BG306" s="15"/>
      <c r="BH306" s="15"/>
      <c r="BI306" s="15"/>
      <c r="BJ306" s="15"/>
      <c r="BK306" s="15"/>
      <c r="BL306" s="15"/>
      <c r="BM306" s="15"/>
      <c r="BN306" s="15"/>
      <c r="BO306" s="15"/>
      <c r="BP306" s="15"/>
      <c r="BQ306" s="242"/>
      <c r="BR306" s="15"/>
      <c r="BS306" s="15"/>
      <c r="BT306" s="15"/>
      <c r="BU306" s="15"/>
      <c r="BV306" s="15"/>
      <c r="BW306" s="15"/>
      <c r="BX306" s="15"/>
      <c r="BY306" s="15"/>
      <c r="BZ306" s="15"/>
      <c r="CA306" s="15"/>
      <c r="CB306" s="15"/>
      <c r="CC306" s="15"/>
      <c r="CD306" s="15"/>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f t="shared" ref="DD306:DD369" si="60">SUM(CR306:DC306)</f>
        <v>0</v>
      </c>
      <c r="DE306" s="1"/>
      <c r="DF306" s="1"/>
      <c r="DG306" s="1"/>
      <c r="DH306" s="1"/>
      <c r="DI306" s="1"/>
      <c r="DJ306" s="1"/>
      <c r="DK306" s="1"/>
      <c r="DL306" s="1"/>
      <c r="DM306" s="1"/>
      <c r="DN306" s="1"/>
      <c r="DO306" s="1"/>
      <c r="DP306" s="1"/>
      <c r="DQ306" s="1"/>
    </row>
    <row r="307" spans="1:121" x14ac:dyDescent="0.2">
      <c r="A307" s="855"/>
      <c r="B307" s="775"/>
      <c r="C307" s="833"/>
      <c r="D307" s="1" t="s">
        <v>1579</v>
      </c>
      <c r="E307" s="1"/>
      <c r="F307" s="1"/>
      <c r="G307" s="775"/>
      <c r="H307" s="1"/>
      <c r="I307" s="1"/>
      <c r="J307" s="1"/>
      <c r="K307" s="1"/>
      <c r="L307" s="116"/>
      <c r="M307" s="116"/>
      <c r="N307" s="116"/>
      <c r="O307" s="116"/>
      <c r="P307" s="375"/>
      <c r="Q307" s="116"/>
      <c r="R307" s="116"/>
      <c r="S307" s="116"/>
      <c r="T307" s="116"/>
      <c r="U307" s="116"/>
      <c r="V307" s="116"/>
      <c r="W307" s="116"/>
      <c r="X307" s="116"/>
      <c r="Y307" s="116"/>
      <c r="Z307" s="116"/>
      <c r="AA307" s="116"/>
      <c r="AB307" s="116"/>
      <c r="AC307" s="116"/>
      <c r="AD307" s="116"/>
      <c r="AE307" s="116"/>
      <c r="AF307" s="116"/>
      <c r="AG307" s="116"/>
      <c r="AH307" s="1"/>
      <c r="AI307" s="46"/>
      <c r="AJ307" s="46"/>
      <c r="AK307" s="46"/>
      <c r="AL307" s="46"/>
      <c r="AM307" s="46"/>
      <c r="AN307" s="46"/>
      <c r="AO307" s="46"/>
      <c r="AP307" s="46"/>
      <c r="AQ307" s="1"/>
      <c r="AR307" s="15"/>
      <c r="AS307" s="15"/>
      <c r="AT307" s="15"/>
      <c r="AU307" s="15"/>
      <c r="AV307" s="15"/>
      <c r="AW307" s="15"/>
      <c r="AX307" s="15"/>
      <c r="AY307" s="15"/>
      <c r="AZ307" s="15"/>
      <c r="BA307" s="15"/>
      <c r="BB307" s="15"/>
      <c r="BC307" s="15"/>
      <c r="BD307" s="102"/>
      <c r="BE307" s="15"/>
      <c r="BF307" s="15"/>
      <c r="BG307" s="15"/>
      <c r="BH307" s="15"/>
      <c r="BI307" s="15"/>
      <c r="BJ307" s="15"/>
      <c r="BK307" s="15"/>
      <c r="BL307" s="15"/>
      <c r="BM307" s="15"/>
      <c r="BN307" s="15"/>
      <c r="BO307" s="15"/>
      <c r="BP307" s="15"/>
      <c r="BQ307" s="242"/>
      <c r="BR307" s="15"/>
      <c r="BS307" s="15"/>
      <c r="BT307" s="15"/>
      <c r="BU307" s="15"/>
      <c r="BV307" s="15"/>
      <c r="BW307" s="15"/>
      <c r="BX307" s="15"/>
      <c r="BY307" s="15"/>
      <c r="BZ307" s="15"/>
      <c r="CA307" s="15"/>
      <c r="CB307" s="15"/>
      <c r="CC307" s="15"/>
      <c r="CD307" s="15"/>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f t="shared" si="60"/>
        <v>0</v>
      </c>
      <c r="DE307" s="1"/>
      <c r="DF307" s="1"/>
      <c r="DG307" s="1"/>
      <c r="DH307" s="1"/>
      <c r="DI307" s="1"/>
      <c r="DJ307" s="1"/>
      <c r="DK307" s="1"/>
      <c r="DL307" s="1"/>
      <c r="DM307" s="1"/>
      <c r="DN307" s="1"/>
      <c r="DO307" s="1"/>
      <c r="DP307" s="1"/>
      <c r="DQ307" s="1"/>
    </row>
    <row r="308" spans="1:121" x14ac:dyDescent="0.2">
      <c r="A308" s="855"/>
      <c r="B308" s="775"/>
      <c r="C308" s="833"/>
      <c r="D308" s="1" t="s">
        <v>1746</v>
      </c>
      <c r="E308" s="1"/>
      <c r="F308" s="1"/>
      <c r="G308" s="775"/>
      <c r="H308" s="1"/>
      <c r="I308" s="1"/>
      <c r="J308" s="1"/>
      <c r="K308" s="1"/>
      <c r="L308" s="116"/>
      <c r="M308" s="116"/>
      <c r="N308" s="116"/>
      <c r="O308" s="116"/>
      <c r="P308" s="375"/>
      <c r="Q308" s="116"/>
      <c r="R308" s="116"/>
      <c r="S308" s="116"/>
      <c r="T308" s="116"/>
      <c r="U308" s="116"/>
      <c r="V308" s="116"/>
      <c r="W308" s="116"/>
      <c r="X308" s="116"/>
      <c r="Y308" s="116"/>
      <c r="Z308" s="116"/>
      <c r="AA308" s="116"/>
      <c r="AB308" s="116"/>
      <c r="AC308" s="116"/>
      <c r="AD308" s="116"/>
      <c r="AE308" s="116"/>
      <c r="AF308" s="116"/>
      <c r="AG308" s="116"/>
      <c r="AH308" s="1"/>
      <c r="AI308" s="46"/>
      <c r="AJ308" s="46"/>
      <c r="AK308" s="46"/>
      <c r="AL308" s="46"/>
      <c r="AM308" s="46"/>
      <c r="AN308" s="46"/>
      <c r="AO308" s="46"/>
      <c r="AP308" s="46"/>
      <c r="AQ308" s="1"/>
      <c r="AR308" s="15"/>
      <c r="AS308" s="15"/>
      <c r="AT308" s="15"/>
      <c r="AU308" s="15"/>
      <c r="AV308" s="15"/>
      <c r="AW308" s="15"/>
      <c r="AX308" s="15"/>
      <c r="AY308" s="15"/>
      <c r="AZ308" s="15"/>
      <c r="BA308" s="15"/>
      <c r="BB308" s="15"/>
      <c r="BC308" s="15"/>
      <c r="BD308" s="102"/>
      <c r="BE308" s="15"/>
      <c r="BF308" s="15"/>
      <c r="BG308" s="15"/>
      <c r="BH308" s="15"/>
      <c r="BI308" s="15"/>
      <c r="BJ308" s="15"/>
      <c r="BK308" s="15"/>
      <c r="BL308" s="15"/>
      <c r="BM308" s="15"/>
      <c r="BN308" s="15"/>
      <c r="BO308" s="15"/>
      <c r="BP308" s="15"/>
      <c r="BQ308" s="242"/>
      <c r="BR308" s="15"/>
      <c r="BS308" s="15"/>
      <c r="BT308" s="15"/>
      <c r="BU308" s="15"/>
      <c r="BV308" s="15"/>
      <c r="BW308" s="15"/>
      <c r="BX308" s="15"/>
      <c r="BY308" s="15"/>
      <c r="BZ308" s="15"/>
      <c r="CA308" s="15"/>
      <c r="CB308" s="15"/>
      <c r="CC308" s="15"/>
      <c r="CD308" s="15"/>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f t="shared" si="60"/>
        <v>0</v>
      </c>
      <c r="DE308" s="1"/>
      <c r="DF308" s="1"/>
      <c r="DG308" s="1"/>
      <c r="DH308" s="1"/>
      <c r="DI308" s="1"/>
      <c r="DJ308" s="1"/>
      <c r="DK308" s="1"/>
      <c r="DL308" s="1"/>
      <c r="DM308" s="1"/>
      <c r="DN308" s="1"/>
      <c r="DO308" s="1"/>
      <c r="DP308" s="1"/>
      <c r="DQ308" s="1"/>
    </row>
    <row r="309" spans="1:121" x14ac:dyDescent="0.2">
      <c r="A309" s="855"/>
      <c r="B309" s="775"/>
      <c r="C309" s="833"/>
      <c r="D309" s="1" t="s">
        <v>1747</v>
      </c>
      <c r="E309" s="1"/>
      <c r="F309" s="1"/>
      <c r="G309" s="775"/>
      <c r="H309" s="1"/>
      <c r="I309" s="1"/>
      <c r="J309" s="1"/>
      <c r="K309" s="1"/>
      <c r="L309" s="116"/>
      <c r="M309" s="116"/>
      <c r="N309" s="116"/>
      <c r="O309" s="116"/>
      <c r="P309" s="375"/>
      <c r="Q309" s="116"/>
      <c r="R309" s="116"/>
      <c r="S309" s="116"/>
      <c r="T309" s="116"/>
      <c r="U309" s="116"/>
      <c r="V309" s="116"/>
      <c r="W309" s="116"/>
      <c r="X309" s="116"/>
      <c r="Y309" s="116"/>
      <c r="Z309" s="116"/>
      <c r="AA309" s="116"/>
      <c r="AB309" s="116"/>
      <c r="AC309" s="116"/>
      <c r="AD309" s="116"/>
      <c r="AE309" s="116"/>
      <c r="AF309" s="116"/>
      <c r="AG309" s="116"/>
      <c r="AH309" s="1"/>
      <c r="AI309" s="46"/>
      <c r="AJ309" s="46"/>
      <c r="AK309" s="46"/>
      <c r="AL309" s="46"/>
      <c r="AM309" s="46"/>
      <c r="AN309" s="46"/>
      <c r="AO309" s="46"/>
      <c r="AP309" s="46"/>
      <c r="AQ309" s="1"/>
      <c r="AR309" s="15"/>
      <c r="AS309" s="15"/>
      <c r="AT309" s="15"/>
      <c r="AU309" s="15"/>
      <c r="AV309" s="15"/>
      <c r="AW309" s="15"/>
      <c r="AX309" s="15"/>
      <c r="AY309" s="15"/>
      <c r="AZ309" s="15"/>
      <c r="BA309" s="15"/>
      <c r="BB309" s="15"/>
      <c r="BC309" s="15"/>
      <c r="BD309" s="102"/>
      <c r="BE309" s="15"/>
      <c r="BF309" s="15"/>
      <c r="BG309" s="15"/>
      <c r="BH309" s="15"/>
      <c r="BI309" s="15"/>
      <c r="BJ309" s="15"/>
      <c r="BK309" s="15"/>
      <c r="BL309" s="15"/>
      <c r="BM309" s="15"/>
      <c r="BN309" s="15"/>
      <c r="BO309" s="15"/>
      <c r="BP309" s="15"/>
      <c r="BQ309" s="242"/>
      <c r="BR309" s="15"/>
      <c r="BS309" s="15"/>
      <c r="BT309" s="15"/>
      <c r="BU309" s="15"/>
      <c r="BV309" s="15"/>
      <c r="BW309" s="15"/>
      <c r="BX309" s="15"/>
      <c r="BY309" s="15"/>
      <c r="BZ309" s="15"/>
      <c r="CA309" s="15"/>
      <c r="CB309" s="15"/>
      <c r="CC309" s="15"/>
      <c r="CD309" s="15"/>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f t="shared" si="60"/>
        <v>0</v>
      </c>
      <c r="DE309" s="1"/>
      <c r="DF309" s="1"/>
      <c r="DG309" s="1"/>
      <c r="DH309" s="1"/>
      <c r="DI309" s="1"/>
      <c r="DJ309" s="1"/>
      <c r="DK309" s="1"/>
      <c r="DL309" s="1"/>
      <c r="DM309" s="1"/>
      <c r="DN309" s="1"/>
      <c r="DO309" s="1"/>
      <c r="DP309" s="1"/>
      <c r="DQ309" s="1"/>
    </row>
    <row r="310" spans="1:121" x14ac:dyDescent="0.2">
      <c r="A310" s="855"/>
      <c r="B310" s="775"/>
      <c r="C310" s="833"/>
      <c r="D310" s="1" t="s">
        <v>1748</v>
      </c>
      <c r="E310" s="1"/>
      <c r="F310" s="1"/>
      <c r="G310" s="775"/>
      <c r="H310" s="1"/>
      <c r="I310" s="1"/>
      <c r="J310" s="1"/>
      <c r="K310" s="1"/>
      <c r="L310" s="116"/>
      <c r="M310" s="116"/>
      <c r="N310" s="116"/>
      <c r="O310" s="116"/>
      <c r="P310" s="375"/>
      <c r="Q310" s="116"/>
      <c r="R310" s="116"/>
      <c r="S310" s="116"/>
      <c r="T310" s="116"/>
      <c r="U310" s="116"/>
      <c r="V310" s="116"/>
      <c r="W310" s="116"/>
      <c r="X310" s="116"/>
      <c r="Y310" s="116"/>
      <c r="Z310" s="116"/>
      <c r="AA310" s="116"/>
      <c r="AB310" s="116"/>
      <c r="AC310" s="116"/>
      <c r="AD310" s="116"/>
      <c r="AE310" s="116"/>
      <c r="AF310" s="116"/>
      <c r="AG310" s="116"/>
      <c r="AH310" s="1"/>
      <c r="AI310" s="46"/>
      <c r="AJ310" s="46"/>
      <c r="AK310" s="46"/>
      <c r="AL310" s="46"/>
      <c r="AM310" s="46"/>
      <c r="AN310" s="46"/>
      <c r="AO310" s="46"/>
      <c r="AP310" s="46"/>
      <c r="AQ310" s="1"/>
      <c r="AR310" s="15"/>
      <c r="AS310" s="15"/>
      <c r="AT310" s="15"/>
      <c r="AU310" s="15"/>
      <c r="AV310" s="15"/>
      <c r="AW310" s="15"/>
      <c r="AX310" s="15"/>
      <c r="AY310" s="15"/>
      <c r="AZ310" s="15"/>
      <c r="BA310" s="15"/>
      <c r="BB310" s="15"/>
      <c r="BC310" s="15"/>
      <c r="BD310" s="102"/>
      <c r="BE310" s="15"/>
      <c r="BF310" s="15"/>
      <c r="BG310" s="15"/>
      <c r="BH310" s="15"/>
      <c r="BI310" s="15"/>
      <c r="BJ310" s="15"/>
      <c r="BK310" s="15"/>
      <c r="BL310" s="15"/>
      <c r="BM310" s="15"/>
      <c r="BN310" s="15"/>
      <c r="BO310" s="15"/>
      <c r="BP310" s="15"/>
      <c r="BQ310" s="242"/>
      <c r="BR310" s="15"/>
      <c r="BS310" s="15"/>
      <c r="BT310" s="15"/>
      <c r="BU310" s="15"/>
      <c r="BV310" s="15"/>
      <c r="BW310" s="15"/>
      <c r="BX310" s="15"/>
      <c r="BY310" s="15"/>
      <c r="BZ310" s="15"/>
      <c r="CA310" s="15"/>
      <c r="CB310" s="15"/>
      <c r="CC310" s="15"/>
      <c r="CD310" s="15"/>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f t="shared" si="60"/>
        <v>0</v>
      </c>
      <c r="DE310" s="1"/>
      <c r="DF310" s="1"/>
      <c r="DG310" s="1"/>
      <c r="DH310" s="1"/>
      <c r="DI310" s="1"/>
      <c r="DJ310" s="1"/>
      <c r="DK310" s="1"/>
      <c r="DL310" s="1"/>
      <c r="DM310" s="1"/>
      <c r="DN310" s="1"/>
      <c r="DO310" s="1"/>
      <c r="DP310" s="1"/>
      <c r="DQ310" s="1"/>
    </row>
    <row r="311" spans="1:121" x14ac:dyDescent="0.2">
      <c r="A311" s="855"/>
      <c r="B311" s="775"/>
      <c r="C311" s="833"/>
      <c r="D311" s="1" t="s">
        <v>1749</v>
      </c>
      <c r="E311" s="1"/>
      <c r="F311" s="1"/>
      <c r="G311" s="775"/>
      <c r="H311" s="1"/>
      <c r="I311" s="1"/>
      <c r="J311" s="1"/>
      <c r="K311" s="1"/>
      <c r="L311" s="116"/>
      <c r="M311" s="116"/>
      <c r="N311" s="116"/>
      <c r="O311" s="116"/>
      <c r="P311" s="375"/>
      <c r="Q311" s="116"/>
      <c r="R311" s="116"/>
      <c r="S311" s="116"/>
      <c r="T311" s="116"/>
      <c r="U311" s="116"/>
      <c r="V311" s="116"/>
      <c r="W311" s="116"/>
      <c r="X311" s="116"/>
      <c r="Y311" s="116"/>
      <c r="Z311" s="116"/>
      <c r="AA311" s="116"/>
      <c r="AB311" s="116"/>
      <c r="AC311" s="116"/>
      <c r="AD311" s="116"/>
      <c r="AE311" s="116"/>
      <c r="AF311" s="116"/>
      <c r="AG311" s="116"/>
      <c r="AH311" s="1"/>
      <c r="AI311" s="46"/>
      <c r="AJ311" s="46"/>
      <c r="AK311" s="46"/>
      <c r="AL311" s="46"/>
      <c r="AM311" s="46"/>
      <c r="AN311" s="46"/>
      <c r="AO311" s="46"/>
      <c r="AP311" s="46"/>
      <c r="AQ311" s="1"/>
      <c r="AR311" s="15"/>
      <c r="AS311" s="15"/>
      <c r="AT311" s="15"/>
      <c r="AU311" s="15"/>
      <c r="AV311" s="15"/>
      <c r="AW311" s="15"/>
      <c r="AX311" s="15"/>
      <c r="AY311" s="15"/>
      <c r="AZ311" s="15"/>
      <c r="BA311" s="15"/>
      <c r="BB311" s="15"/>
      <c r="BC311" s="15"/>
      <c r="BD311" s="102"/>
      <c r="BE311" s="15"/>
      <c r="BF311" s="15"/>
      <c r="BG311" s="15"/>
      <c r="BH311" s="15"/>
      <c r="BI311" s="15"/>
      <c r="BJ311" s="15"/>
      <c r="BK311" s="15"/>
      <c r="BL311" s="15"/>
      <c r="BM311" s="15"/>
      <c r="BN311" s="15"/>
      <c r="BO311" s="15"/>
      <c r="BP311" s="15"/>
      <c r="BQ311" s="242"/>
      <c r="BR311" s="15"/>
      <c r="BS311" s="15"/>
      <c r="BT311" s="15"/>
      <c r="BU311" s="15"/>
      <c r="BV311" s="15"/>
      <c r="BW311" s="15"/>
      <c r="BX311" s="15"/>
      <c r="BY311" s="15"/>
      <c r="BZ311" s="15"/>
      <c r="CA311" s="15"/>
      <c r="CB311" s="15"/>
      <c r="CC311" s="15"/>
      <c r="CD311" s="15"/>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f t="shared" si="60"/>
        <v>0</v>
      </c>
      <c r="DE311" s="1"/>
      <c r="DF311" s="1"/>
      <c r="DG311" s="1"/>
      <c r="DH311" s="1"/>
      <c r="DI311" s="1"/>
      <c r="DJ311" s="1"/>
      <c r="DK311" s="1"/>
      <c r="DL311" s="1"/>
      <c r="DM311" s="1"/>
      <c r="DN311" s="1"/>
      <c r="DO311" s="1"/>
      <c r="DP311" s="1"/>
      <c r="DQ311" s="1"/>
    </row>
    <row r="312" spans="1:121" x14ac:dyDescent="0.2">
      <c r="A312" s="855"/>
      <c r="B312" s="775"/>
      <c r="C312" s="833"/>
      <c r="D312" s="1" t="s">
        <v>1750</v>
      </c>
      <c r="E312" s="1"/>
      <c r="F312" s="1"/>
      <c r="G312" s="775"/>
      <c r="H312" s="1"/>
      <c r="I312" s="1"/>
      <c r="J312" s="1"/>
      <c r="K312" s="1"/>
      <c r="L312" s="116"/>
      <c r="M312" s="116"/>
      <c r="N312" s="116"/>
      <c r="O312" s="116"/>
      <c r="P312" s="375"/>
      <c r="Q312" s="116"/>
      <c r="R312" s="116"/>
      <c r="S312" s="116"/>
      <c r="T312" s="116"/>
      <c r="U312" s="116"/>
      <c r="V312" s="116"/>
      <c r="W312" s="116"/>
      <c r="X312" s="116"/>
      <c r="Y312" s="116"/>
      <c r="Z312" s="116"/>
      <c r="AA312" s="116"/>
      <c r="AB312" s="116"/>
      <c r="AC312" s="116"/>
      <c r="AD312" s="116"/>
      <c r="AE312" s="116"/>
      <c r="AF312" s="116"/>
      <c r="AG312" s="116"/>
      <c r="AH312" s="1"/>
      <c r="AI312" s="46"/>
      <c r="AJ312" s="46"/>
      <c r="AK312" s="46"/>
      <c r="AL312" s="46"/>
      <c r="AM312" s="46"/>
      <c r="AN312" s="46"/>
      <c r="AO312" s="46"/>
      <c r="AP312" s="46"/>
      <c r="AQ312" s="1"/>
      <c r="AR312" s="15"/>
      <c r="AS312" s="15"/>
      <c r="AT312" s="15"/>
      <c r="AU312" s="15"/>
      <c r="AV312" s="15"/>
      <c r="AW312" s="15"/>
      <c r="AX312" s="15"/>
      <c r="AY312" s="15"/>
      <c r="AZ312" s="15"/>
      <c r="BA312" s="15"/>
      <c r="BB312" s="15"/>
      <c r="BC312" s="15"/>
      <c r="BD312" s="102"/>
      <c r="BE312" s="15"/>
      <c r="BF312" s="15"/>
      <c r="BG312" s="15"/>
      <c r="BH312" s="15"/>
      <c r="BI312" s="15"/>
      <c r="BJ312" s="15"/>
      <c r="BK312" s="15"/>
      <c r="BL312" s="15"/>
      <c r="BM312" s="15"/>
      <c r="BN312" s="15"/>
      <c r="BO312" s="15"/>
      <c r="BP312" s="15"/>
      <c r="BQ312" s="242"/>
      <c r="BR312" s="15"/>
      <c r="BS312" s="15"/>
      <c r="BT312" s="15"/>
      <c r="BU312" s="15"/>
      <c r="BV312" s="15"/>
      <c r="BW312" s="15"/>
      <c r="BX312" s="15"/>
      <c r="BY312" s="15"/>
      <c r="BZ312" s="15"/>
      <c r="CA312" s="15"/>
      <c r="CB312" s="15"/>
      <c r="CC312" s="15"/>
      <c r="CD312" s="15"/>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f t="shared" si="60"/>
        <v>0</v>
      </c>
      <c r="DE312" s="1"/>
      <c r="DF312" s="1"/>
      <c r="DG312" s="1"/>
      <c r="DH312" s="1"/>
      <c r="DI312" s="1"/>
      <c r="DJ312" s="1"/>
      <c r="DK312" s="1"/>
      <c r="DL312" s="1"/>
      <c r="DM312" s="1"/>
      <c r="DN312" s="1"/>
      <c r="DO312" s="1"/>
      <c r="DP312" s="1"/>
      <c r="DQ312" s="1"/>
    </row>
    <row r="313" spans="1:121" x14ac:dyDescent="0.2">
      <c r="A313" s="855"/>
      <c r="B313" s="775"/>
      <c r="C313" s="833"/>
      <c r="D313" s="1" t="s">
        <v>1751</v>
      </c>
      <c r="E313" s="1"/>
      <c r="F313" s="1"/>
      <c r="G313" s="775"/>
      <c r="H313" s="1"/>
      <c r="I313" s="1"/>
      <c r="J313" s="1"/>
      <c r="K313" s="1"/>
      <c r="L313" s="116"/>
      <c r="M313" s="116"/>
      <c r="N313" s="116"/>
      <c r="O313" s="116"/>
      <c r="P313" s="375"/>
      <c r="Q313" s="116"/>
      <c r="R313" s="116"/>
      <c r="S313" s="116"/>
      <c r="T313" s="116"/>
      <c r="U313" s="116"/>
      <c r="V313" s="116"/>
      <c r="W313" s="116"/>
      <c r="X313" s="116"/>
      <c r="Y313" s="116"/>
      <c r="Z313" s="116"/>
      <c r="AA313" s="116"/>
      <c r="AB313" s="116"/>
      <c r="AC313" s="116"/>
      <c r="AD313" s="116"/>
      <c r="AE313" s="116"/>
      <c r="AF313" s="116"/>
      <c r="AG313" s="116"/>
      <c r="AH313" s="1"/>
      <c r="AI313" s="46"/>
      <c r="AJ313" s="46"/>
      <c r="AK313" s="46"/>
      <c r="AL313" s="46"/>
      <c r="AM313" s="46"/>
      <c r="AN313" s="46"/>
      <c r="AO313" s="46"/>
      <c r="AP313" s="46"/>
      <c r="AQ313" s="1"/>
      <c r="AR313" s="15"/>
      <c r="AS313" s="15"/>
      <c r="AT313" s="15"/>
      <c r="AU313" s="15"/>
      <c r="AV313" s="15"/>
      <c r="AW313" s="15"/>
      <c r="AX313" s="15"/>
      <c r="AY313" s="15"/>
      <c r="AZ313" s="15"/>
      <c r="BA313" s="15"/>
      <c r="BB313" s="15"/>
      <c r="BC313" s="15"/>
      <c r="BD313" s="102"/>
      <c r="BE313" s="15"/>
      <c r="BF313" s="15"/>
      <c r="BG313" s="15"/>
      <c r="BH313" s="15"/>
      <c r="BI313" s="15"/>
      <c r="BJ313" s="15"/>
      <c r="BK313" s="15"/>
      <c r="BL313" s="15"/>
      <c r="BM313" s="15"/>
      <c r="BN313" s="15"/>
      <c r="BO313" s="15"/>
      <c r="BP313" s="15"/>
      <c r="BQ313" s="242"/>
      <c r="BR313" s="15"/>
      <c r="BS313" s="15"/>
      <c r="BT313" s="15"/>
      <c r="BU313" s="15"/>
      <c r="BV313" s="15"/>
      <c r="BW313" s="15"/>
      <c r="BX313" s="15"/>
      <c r="BY313" s="15"/>
      <c r="BZ313" s="15"/>
      <c r="CA313" s="15"/>
      <c r="CB313" s="15"/>
      <c r="CC313" s="15"/>
      <c r="CD313" s="15"/>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f t="shared" si="60"/>
        <v>0</v>
      </c>
      <c r="DE313" s="1"/>
      <c r="DF313" s="1"/>
      <c r="DG313" s="1"/>
      <c r="DH313" s="1"/>
      <c r="DI313" s="1"/>
      <c r="DJ313" s="1"/>
      <c r="DK313" s="1"/>
      <c r="DL313" s="1"/>
      <c r="DM313" s="1"/>
      <c r="DN313" s="1"/>
      <c r="DO313" s="1"/>
      <c r="DP313" s="1"/>
      <c r="DQ313" s="1"/>
    </row>
    <row r="314" spans="1:121" x14ac:dyDescent="0.2">
      <c r="A314" s="855"/>
      <c r="B314" s="775"/>
      <c r="C314" s="833"/>
      <c r="D314" s="1" t="s">
        <v>1752</v>
      </c>
      <c r="E314" s="1"/>
      <c r="F314" s="1"/>
      <c r="G314" s="775"/>
      <c r="H314" s="1"/>
      <c r="I314" s="1"/>
      <c r="J314" s="1"/>
      <c r="K314" s="1"/>
      <c r="L314" s="116"/>
      <c r="M314" s="116"/>
      <c r="N314" s="116"/>
      <c r="O314" s="116"/>
      <c r="P314" s="375"/>
      <c r="Q314" s="116"/>
      <c r="R314" s="116"/>
      <c r="S314" s="116"/>
      <c r="T314" s="116"/>
      <c r="U314" s="116"/>
      <c r="V314" s="116"/>
      <c r="W314" s="116"/>
      <c r="X314" s="116"/>
      <c r="Y314" s="116"/>
      <c r="Z314" s="116"/>
      <c r="AA314" s="116"/>
      <c r="AB314" s="116"/>
      <c r="AC314" s="116"/>
      <c r="AD314" s="116"/>
      <c r="AE314" s="116"/>
      <c r="AF314" s="116"/>
      <c r="AG314" s="116"/>
      <c r="AH314" s="1"/>
      <c r="AI314" s="46"/>
      <c r="AJ314" s="46"/>
      <c r="AK314" s="46"/>
      <c r="AL314" s="46"/>
      <c r="AM314" s="46"/>
      <c r="AN314" s="46"/>
      <c r="AO314" s="46"/>
      <c r="AP314" s="46"/>
      <c r="AQ314" s="1"/>
      <c r="AR314" s="15"/>
      <c r="AS314" s="15"/>
      <c r="AT314" s="15"/>
      <c r="AU314" s="15"/>
      <c r="AV314" s="15"/>
      <c r="AW314" s="15"/>
      <c r="AX314" s="15"/>
      <c r="AY314" s="15"/>
      <c r="AZ314" s="15"/>
      <c r="BA314" s="15"/>
      <c r="BB314" s="15"/>
      <c r="BC314" s="15"/>
      <c r="BD314" s="102"/>
      <c r="BE314" s="15"/>
      <c r="BF314" s="15"/>
      <c r="BG314" s="15"/>
      <c r="BH314" s="15"/>
      <c r="BI314" s="15"/>
      <c r="BJ314" s="15"/>
      <c r="BK314" s="15"/>
      <c r="BL314" s="15"/>
      <c r="BM314" s="15"/>
      <c r="BN314" s="15"/>
      <c r="BO314" s="15"/>
      <c r="BP314" s="15"/>
      <c r="BQ314" s="242"/>
      <c r="BR314" s="15"/>
      <c r="BS314" s="15"/>
      <c r="BT314" s="15"/>
      <c r="BU314" s="15"/>
      <c r="BV314" s="15"/>
      <c r="BW314" s="15"/>
      <c r="BX314" s="15"/>
      <c r="BY314" s="15"/>
      <c r="BZ314" s="15"/>
      <c r="CA314" s="15"/>
      <c r="CB314" s="15"/>
      <c r="CC314" s="15"/>
      <c r="CD314" s="15"/>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f t="shared" si="60"/>
        <v>0</v>
      </c>
      <c r="DE314" s="1"/>
      <c r="DF314" s="1"/>
      <c r="DG314" s="1"/>
      <c r="DH314" s="1"/>
      <c r="DI314" s="1"/>
      <c r="DJ314" s="1"/>
      <c r="DK314" s="1"/>
      <c r="DL314" s="1"/>
      <c r="DM314" s="1"/>
      <c r="DN314" s="1"/>
      <c r="DO314" s="1"/>
      <c r="DP314" s="1"/>
      <c r="DQ314" s="1"/>
    </row>
    <row r="315" spans="1:121" x14ac:dyDescent="0.2">
      <c r="A315" s="855"/>
      <c r="B315" s="775"/>
      <c r="C315" s="833"/>
      <c r="D315" s="1" t="s">
        <v>1753</v>
      </c>
      <c r="E315" s="1"/>
      <c r="F315" s="1"/>
      <c r="G315" s="775"/>
      <c r="H315" s="1"/>
      <c r="I315" s="1"/>
      <c r="J315" s="1"/>
      <c r="K315" s="1"/>
      <c r="L315" s="116"/>
      <c r="M315" s="116"/>
      <c r="N315" s="116"/>
      <c r="O315" s="116"/>
      <c r="P315" s="375"/>
      <c r="Q315" s="116"/>
      <c r="R315" s="116"/>
      <c r="S315" s="116"/>
      <c r="T315" s="116"/>
      <c r="U315" s="116"/>
      <c r="V315" s="116"/>
      <c r="W315" s="116"/>
      <c r="X315" s="116"/>
      <c r="Y315" s="116"/>
      <c r="Z315" s="116"/>
      <c r="AA315" s="116"/>
      <c r="AB315" s="116"/>
      <c r="AC315" s="116"/>
      <c r="AD315" s="116"/>
      <c r="AE315" s="116"/>
      <c r="AF315" s="116"/>
      <c r="AG315" s="116"/>
      <c r="AH315" s="1"/>
      <c r="AI315" s="46"/>
      <c r="AJ315" s="46"/>
      <c r="AK315" s="46"/>
      <c r="AL315" s="46"/>
      <c r="AM315" s="46"/>
      <c r="AN315" s="46"/>
      <c r="AO315" s="46"/>
      <c r="AP315" s="46"/>
      <c r="AQ315" s="1"/>
      <c r="AR315" s="15"/>
      <c r="AS315" s="15"/>
      <c r="AT315" s="15"/>
      <c r="AU315" s="15"/>
      <c r="AV315" s="15"/>
      <c r="AW315" s="15"/>
      <c r="AX315" s="15"/>
      <c r="AY315" s="15"/>
      <c r="AZ315" s="15"/>
      <c r="BA315" s="15"/>
      <c r="BB315" s="15"/>
      <c r="BC315" s="15"/>
      <c r="BD315" s="102"/>
      <c r="BE315" s="15"/>
      <c r="BF315" s="15"/>
      <c r="BG315" s="15"/>
      <c r="BH315" s="15"/>
      <c r="BI315" s="15"/>
      <c r="BJ315" s="15"/>
      <c r="BK315" s="15"/>
      <c r="BL315" s="15"/>
      <c r="BM315" s="15"/>
      <c r="BN315" s="15"/>
      <c r="BO315" s="15"/>
      <c r="BP315" s="15"/>
      <c r="BQ315" s="242"/>
      <c r="BR315" s="15"/>
      <c r="BS315" s="15"/>
      <c r="BT315" s="15"/>
      <c r="BU315" s="15"/>
      <c r="BV315" s="15"/>
      <c r="BW315" s="15"/>
      <c r="BX315" s="15"/>
      <c r="BY315" s="15"/>
      <c r="BZ315" s="15"/>
      <c r="CA315" s="15"/>
      <c r="CB315" s="15"/>
      <c r="CC315" s="15"/>
      <c r="CD315" s="15"/>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f t="shared" si="60"/>
        <v>0</v>
      </c>
      <c r="DE315" s="1"/>
      <c r="DF315" s="1"/>
      <c r="DG315" s="1"/>
      <c r="DH315" s="1"/>
      <c r="DI315" s="1"/>
      <c r="DJ315" s="1"/>
      <c r="DK315" s="1"/>
      <c r="DL315" s="1"/>
      <c r="DM315" s="1"/>
      <c r="DN315" s="1"/>
      <c r="DO315" s="1"/>
      <c r="DP315" s="1"/>
      <c r="DQ315" s="1"/>
    </row>
    <row r="316" spans="1:121" x14ac:dyDescent="0.2">
      <c r="A316" s="855"/>
      <c r="B316" s="775"/>
      <c r="C316" s="833"/>
      <c r="D316" s="1" t="s">
        <v>1754</v>
      </c>
      <c r="E316" s="1"/>
      <c r="F316" s="1"/>
      <c r="G316" s="775"/>
      <c r="H316" s="1"/>
      <c r="I316" s="1"/>
      <c r="J316" s="1"/>
      <c r="K316" s="1"/>
      <c r="L316" s="116"/>
      <c r="M316" s="116"/>
      <c r="N316" s="116"/>
      <c r="O316" s="116"/>
      <c r="P316" s="375"/>
      <c r="Q316" s="116"/>
      <c r="R316" s="116"/>
      <c r="S316" s="116"/>
      <c r="T316" s="116"/>
      <c r="U316" s="116"/>
      <c r="V316" s="116"/>
      <c r="W316" s="116"/>
      <c r="X316" s="116"/>
      <c r="Y316" s="116"/>
      <c r="Z316" s="116"/>
      <c r="AA316" s="116"/>
      <c r="AB316" s="116"/>
      <c r="AC316" s="116"/>
      <c r="AD316" s="116"/>
      <c r="AE316" s="116"/>
      <c r="AF316" s="116"/>
      <c r="AG316" s="116"/>
      <c r="AH316" s="1"/>
      <c r="AI316" s="46"/>
      <c r="AJ316" s="46"/>
      <c r="AK316" s="46"/>
      <c r="AL316" s="46"/>
      <c r="AM316" s="46"/>
      <c r="AN316" s="46"/>
      <c r="AO316" s="46"/>
      <c r="AP316" s="46"/>
      <c r="AQ316" s="1"/>
      <c r="AR316" s="15"/>
      <c r="AS316" s="15"/>
      <c r="AT316" s="15"/>
      <c r="AU316" s="15"/>
      <c r="AV316" s="15"/>
      <c r="AW316" s="15"/>
      <c r="AX316" s="15"/>
      <c r="AY316" s="15"/>
      <c r="AZ316" s="15"/>
      <c r="BA316" s="15"/>
      <c r="BB316" s="15"/>
      <c r="BC316" s="15"/>
      <c r="BD316" s="102"/>
      <c r="BE316" s="15"/>
      <c r="BF316" s="15"/>
      <c r="BG316" s="15"/>
      <c r="BH316" s="15"/>
      <c r="BI316" s="15"/>
      <c r="BJ316" s="15"/>
      <c r="BK316" s="15"/>
      <c r="BL316" s="15"/>
      <c r="BM316" s="15"/>
      <c r="BN316" s="15"/>
      <c r="BO316" s="15"/>
      <c r="BP316" s="15"/>
      <c r="BQ316" s="242"/>
      <c r="BR316" s="15"/>
      <c r="BS316" s="15"/>
      <c r="BT316" s="15"/>
      <c r="BU316" s="15"/>
      <c r="BV316" s="15"/>
      <c r="BW316" s="15"/>
      <c r="BX316" s="15"/>
      <c r="BY316" s="15"/>
      <c r="BZ316" s="15"/>
      <c r="CA316" s="15"/>
      <c r="CB316" s="15"/>
      <c r="CC316" s="15"/>
      <c r="CD316" s="15"/>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f t="shared" si="60"/>
        <v>0</v>
      </c>
      <c r="DE316" s="1"/>
      <c r="DF316" s="1"/>
      <c r="DG316" s="1"/>
      <c r="DH316" s="1"/>
      <c r="DI316" s="1"/>
      <c r="DJ316" s="1"/>
      <c r="DK316" s="1"/>
      <c r="DL316" s="1"/>
      <c r="DM316" s="1"/>
      <c r="DN316" s="1"/>
      <c r="DO316" s="1"/>
      <c r="DP316" s="1"/>
      <c r="DQ316" s="1"/>
    </row>
    <row r="317" spans="1:121" x14ac:dyDescent="0.2">
      <c r="A317" s="855"/>
      <c r="B317" s="775"/>
      <c r="C317" s="833"/>
      <c r="D317" s="1" t="s">
        <v>1503</v>
      </c>
      <c r="E317" s="1"/>
      <c r="F317" s="1"/>
      <c r="G317" s="775"/>
      <c r="H317" s="1"/>
      <c r="I317" s="1"/>
      <c r="J317" s="1"/>
      <c r="K317" s="1"/>
      <c r="L317" s="116"/>
      <c r="M317" s="116"/>
      <c r="N317" s="116"/>
      <c r="O317" s="116"/>
      <c r="P317" s="375"/>
      <c r="Q317" s="116"/>
      <c r="R317" s="116"/>
      <c r="S317" s="116"/>
      <c r="T317" s="116"/>
      <c r="U317" s="116"/>
      <c r="V317" s="116"/>
      <c r="W317" s="116"/>
      <c r="X317" s="116"/>
      <c r="Y317" s="116"/>
      <c r="Z317" s="116"/>
      <c r="AA317" s="116"/>
      <c r="AB317" s="116"/>
      <c r="AC317" s="116"/>
      <c r="AD317" s="116"/>
      <c r="AE317" s="116"/>
      <c r="AF317" s="116"/>
      <c r="AG317" s="116"/>
      <c r="AH317" s="1"/>
      <c r="AI317" s="46"/>
      <c r="AJ317" s="46"/>
      <c r="AK317" s="46"/>
      <c r="AL317" s="46"/>
      <c r="AM317" s="46"/>
      <c r="AN317" s="46"/>
      <c r="AO317" s="46"/>
      <c r="AP317" s="46"/>
      <c r="AQ317" s="1"/>
      <c r="AR317" s="15"/>
      <c r="AS317" s="15"/>
      <c r="AT317" s="15"/>
      <c r="AU317" s="15"/>
      <c r="AV317" s="15"/>
      <c r="AW317" s="15"/>
      <c r="AX317" s="15"/>
      <c r="AY317" s="15"/>
      <c r="AZ317" s="15"/>
      <c r="BA317" s="15"/>
      <c r="BB317" s="15"/>
      <c r="BC317" s="15"/>
      <c r="BD317" s="102"/>
      <c r="BE317" s="15"/>
      <c r="BF317" s="15"/>
      <c r="BG317" s="15"/>
      <c r="BH317" s="15"/>
      <c r="BI317" s="15"/>
      <c r="BJ317" s="15"/>
      <c r="BK317" s="15"/>
      <c r="BL317" s="15"/>
      <c r="BM317" s="15"/>
      <c r="BN317" s="15"/>
      <c r="BO317" s="15"/>
      <c r="BP317" s="15"/>
      <c r="BQ317" s="242"/>
      <c r="BR317" s="15"/>
      <c r="BS317" s="15"/>
      <c r="BT317" s="15"/>
      <c r="BU317" s="15"/>
      <c r="BV317" s="15"/>
      <c r="BW317" s="15"/>
      <c r="BX317" s="15"/>
      <c r="BY317" s="15"/>
      <c r="BZ317" s="15"/>
      <c r="CA317" s="15"/>
      <c r="CB317" s="15"/>
      <c r="CC317" s="15"/>
      <c r="CD317" s="15"/>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f t="shared" si="60"/>
        <v>0</v>
      </c>
      <c r="DE317" s="1"/>
      <c r="DF317" s="1"/>
      <c r="DG317" s="1"/>
      <c r="DH317" s="1"/>
      <c r="DI317" s="1"/>
      <c r="DJ317" s="1"/>
      <c r="DK317" s="1"/>
      <c r="DL317" s="1"/>
      <c r="DM317" s="1"/>
      <c r="DN317" s="1"/>
      <c r="DO317" s="1"/>
      <c r="DP317" s="1"/>
      <c r="DQ317" s="1"/>
    </row>
    <row r="318" spans="1:121" x14ac:dyDescent="0.2">
      <c r="A318" s="855"/>
      <c r="B318" s="775"/>
      <c r="C318" s="833"/>
      <c r="D318" s="1" t="s">
        <v>1755</v>
      </c>
      <c r="E318" s="1"/>
      <c r="F318" s="1"/>
      <c r="G318" s="775"/>
      <c r="H318" s="1"/>
      <c r="I318" s="1"/>
      <c r="J318" s="1"/>
      <c r="K318" s="1"/>
      <c r="L318" s="116"/>
      <c r="M318" s="116"/>
      <c r="N318" s="116"/>
      <c r="O318" s="116"/>
      <c r="P318" s="375"/>
      <c r="Q318" s="116"/>
      <c r="R318" s="116"/>
      <c r="S318" s="116"/>
      <c r="T318" s="116"/>
      <c r="U318" s="116"/>
      <c r="V318" s="116"/>
      <c r="W318" s="116"/>
      <c r="X318" s="116"/>
      <c r="Y318" s="116"/>
      <c r="Z318" s="116"/>
      <c r="AA318" s="116"/>
      <c r="AB318" s="116"/>
      <c r="AC318" s="116"/>
      <c r="AD318" s="116"/>
      <c r="AE318" s="116"/>
      <c r="AF318" s="116"/>
      <c r="AG318" s="116"/>
      <c r="AH318" s="1"/>
      <c r="AI318" s="46"/>
      <c r="AJ318" s="46"/>
      <c r="AK318" s="46"/>
      <c r="AL318" s="46"/>
      <c r="AM318" s="46"/>
      <c r="AN318" s="46"/>
      <c r="AO318" s="46"/>
      <c r="AP318" s="46"/>
      <c r="AQ318" s="1"/>
      <c r="AR318" s="15"/>
      <c r="AS318" s="15"/>
      <c r="AT318" s="15"/>
      <c r="AU318" s="15"/>
      <c r="AV318" s="15"/>
      <c r="AW318" s="15"/>
      <c r="AX318" s="15"/>
      <c r="AY318" s="15"/>
      <c r="AZ318" s="15"/>
      <c r="BA318" s="15"/>
      <c r="BB318" s="15"/>
      <c r="BC318" s="15"/>
      <c r="BD318" s="102"/>
      <c r="BE318" s="15"/>
      <c r="BF318" s="15"/>
      <c r="BG318" s="15"/>
      <c r="BH318" s="15"/>
      <c r="BI318" s="15"/>
      <c r="BJ318" s="15"/>
      <c r="BK318" s="15"/>
      <c r="BL318" s="15"/>
      <c r="BM318" s="15"/>
      <c r="BN318" s="15"/>
      <c r="BO318" s="15"/>
      <c r="BP318" s="15"/>
      <c r="BQ318" s="242"/>
      <c r="BR318" s="15"/>
      <c r="BS318" s="15"/>
      <c r="BT318" s="15"/>
      <c r="BU318" s="15"/>
      <c r="BV318" s="15"/>
      <c r="BW318" s="15"/>
      <c r="BX318" s="15"/>
      <c r="BY318" s="15"/>
      <c r="BZ318" s="15"/>
      <c r="CA318" s="15"/>
      <c r="CB318" s="15"/>
      <c r="CC318" s="15"/>
      <c r="CD318" s="15"/>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f t="shared" si="60"/>
        <v>0</v>
      </c>
      <c r="DE318" s="1"/>
      <c r="DF318" s="1"/>
      <c r="DG318" s="1"/>
      <c r="DH318" s="1"/>
      <c r="DI318" s="1"/>
      <c r="DJ318" s="1"/>
      <c r="DK318" s="1"/>
      <c r="DL318" s="1"/>
      <c r="DM318" s="1"/>
      <c r="DN318" s="1"/>
      <c r="DO318" s="1"/>
      <c r="DP318" s="1"/>
      <c r="DQ318" s="1"/>
    </row>
    <row r="319" spans="1:121" x14ac:dyDescent="0.2">
      <c r="A319" s="855"/>
      <c r="B319" s="775"/>
      <c r="C319" s="833"/>
      <c r="D319" s="1" t="s">
        <v>1756</v>
      </c>
      <c r="E319" s="1"/>
      <c r="F319" s="1"/>
      <c r="G319" s="775"/>
      <c r="H319" s="1"/>
      <c r="I319" s="1"/>
      <c r="J319" s="1"/>
      <c r="K319" s="1"/>
      <c r="L319" s="116"/>
      <c r="M319" s="116"/>
      <c r="N319" s="116"/>
      <c r="O319" s="116"/>
      <c r="P319" s="375"/>
      <c r="Q319" s="116"/>
      <c r="R319" s="116"/>
      <c r="S319" s="116"/>
      <c r="T319" s="116"/>
      <c r="U319" s="116"/>
      <c r="V319" s="116"/>
      <c r="W319" s="116"/>
      <c r="X319" s="116"/>
      <c r="Y319" s="116"/>
      <c r="Z319" s="116"/>
      <c r="AA319" s="116"/>
      <c r="AB319" s="116"/>
      <c r="AC319" s="116"/>
      <c r="AD319" s="116"/>
      <c r="AE319" s="116"/>
      <c r="AF319" s="116"/>
      <c r="AG319" s="116"/>
      <c r="AH319" s="1"/>
      <c r="AI319" s="46"/>
      <c r="AJ319" s="46"/>
      <c r="AK319" s="46"/>
      <c r="AL319" s="46"/>
      <c r="AM319" s="46"/>
      <c r="AN319" s="46"/>
      <c r="AO319" s="46"/>
      <c r="AP319" s="46"/>
      <c r="AQ319" s="1"/>
      <c r="AR319" s="15"/>
      <c r="AS319" s="15"/>
      <c r="AT319" s="15"/>
      <c r="AU319" s="15"/>
      <c r="AV319" s="15"/>
      <c r="AW319" s="15"/>
      <c r="AX319" s="15"/>
      <c r="AY319" s="15"/>
      <c r="AZ319" s="15"/>
      <c r="BA319" s="15"/>
      <c r="BB319" s="15"/>
      <c r="BC319" s="15"/>
      <c r="BD319" s="102"/>
      <c r="BE319" s="15"/>
      <c r="BF319" s="15"/>
      <c r="BG319" s="15"/>
      <c r="BH319" s="15"/>
      <c r="BI319" s="15"/>
      <c r="BJ319" s="15"/>
      <c r="BK319" s="15"/>
      <c r="BL319" s="15"/>
      <c r="BM319" s="15"/>
      <c r="BN319" s="15"/>
      <c r="BO319" s="15"/>
      <c r="BP319" s="15"/>
      <c r="BQ319" s="242"/>
      <c r="BR319" s="15"/>
      <c r="BS319" s="15"/>
      <c r="BT319" s="15"/>
      <c r="BU319" s="15"/>
      <c r="BV319" s="15"/>
      <c r="BW319" s="15"/>
      <c r="BX319" s="15"/>
      <c r="BY319" s="15"/>
      <c r="BZ319" s="15"/>
      <c r="CA319" s="15"/>
      <c r="CB319" s="15"/>
      <c r="CC319" s="15"/>
      <c r="CD319" s="15"/>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f t="shared" si="60"/>
        <v>0</v>
      </c>
      <c r="DE319" s="1"/>
      <c r="DF319" s="1"/>
      <c r="DG319" s="1"/>
      <c r="DH319" s="1"/>
      <c r="DI319" s="1"/>
      <c r="DJ319" s="1"/>
      <c r="DK319" s="1"/>
      <c r="DL319" s="1"/>
      <c r="DM319" s="1"/>
      <c r="DN319" s="1"/>
      <c r="DO319" s="1"/>
      <c r="DP319" s="1"/>
      <c r="DQ319" s="1"/>
    </row>
    <row r="320" spans="1:121" x14ac:dyDescent="0.2">
      <c r="A320" s="855"/>
      <c r="B320" s="775"/>
      <c r="C320" s="833"/>
      <c r="D320" s="1" t="s">
        <v>1757</v>
      </c>
      <c r="E320" s="1"/>
      <c r="F320" s="1"/>
      <c r="G320" s="775"/>
      <c r="H320" s="1"/>
      <c r="I320" s="1"/>
      <c r="J320" s="1"/>
      <c r="K320" s="1"/>
      <c r="L320" s="116"/>
      <c r="M320" s="116"/>
      <c r="N320" s="116"/>
      <c r="O320" s="116"/>
      <c r="P320" s="375"/>
      <c r="Q320" s="116"/>
      <c r="R320" s="116"/>
      <c r="S320" s="116"/>
      <c r="T320" s="116"/>
      <c r="U320" s="116"/>
      <c r="V320" s="116"/>
      <c r="W320" s="116"/>
      <c r="X320" s="116"/>
      <c r="Y320" s="116"/>
      <c r="Z320" s="116"/>
      <c r="AA320" s="116"/>
      <c r="AB320" s="116"/>
      <c r="AC320" s="116"/>
      <c r="AD320" s="116"/>
      <c r="AE320" s="116"/>
      <c r="AF320" s="116"/>
      <c r="AG320" s="116"/>
      <c r="AH320" s="1"/>
      <c r="AI320" s="46"/>
      <c r="AJ320" s="46"/>
      <c r="AK320" s="46"/>
      <c r="AL320" s="46"/>
      <c r="AM320" s="46"/>
      <c r="AN320" s="46"/>
      <c r="AO320" s="46"/>
      <c r="AP320" s="46"/>
      <c r="AQ320" s="1"/>
      <c r="AR320" s="15"/>
      <c r="AS320" s="15"/>
      <c r="AT320" s="15"/>
      <c r="AU320" s="15"/>
      <c r="AV320" s="15"/>
      <c r="AW320" s="15"/>
      <c r="AX320" s="15"/>
      <c r="AY320" s="15"/>
      <c r="AZ320" s="15"/>
      <c r="BA320" s="15"/>
      <c r="BB320" s="15"/>
      <c r="BC320" s="15"/>
      <c r="BD320" s="102"/>
      <c r="BE320" s="15"/>
      <c r="BF320" s="15"/>
      <c r="BG320" s="15"/>
      <c r="BH320" s="15"/>
      <c r="BI320" s="15"/>
      <c r="BJ320" s="15"/>
      <c r="BK320" s="15"/>
      <c r="BL320" s="15"/>
      <c r="BM320" s="15"/>
      <c r="BN320" s="15"/>
      <c r="BO320" s="15"/>
      <c r="BP320" s="15"/>
      <c r="BQ320" s="242"/>
      <c r="BR320" s="15"/>
      <c r="BS320" s="15"/>
      <c r="BT320" s="15"/>
      <c r="BU320" s="15"/>
      <c r="BV320" s="15"/>
      <c r="BW320" s="15"/>
      <c r="BX320" s="15"/>
      <c r="BY320" s="15"/>
      <c r="BZ320" s="15"/>
      <c r="CA320" s="15"/>
      <c r="CB320" s="15"/>
      <c r="CC320" s="15"/>
      <c r="CD320" s="15"/>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f t="shared" si="60"/>
        <v>0</v>
      </c>
      <c r="DE320" s="1"/>
      <c r="DF320" s="1"/>
      <c r="DG320" s="1"/>
      <c r="DH320" s="1"/>
      <c r="DI320" s="1"/>
      <c r="DJ320" s="1"/>
      <c r="DK320" s="1"/>
      <c r="DL320" s="1"/>
      <c r="DM320" s="1"/>
      <c r="DN320" s="1"/>
      <c r="DO320" s="1"/>
      <c r="DP320" s="1"/>
      <c r="DQ320" s="1"/>
    </row>
    <row r="321" spans="1:121" x14ac:dyDescent="0.2">
      <c r="A321" s="855"/>
      <c r="B321" s="775"/>
      <c r="C321" s="833"/>
      <c r="D321" s="1" t="s">
        <v>1758</v>
      </c>
      <c r="E321" s="1"/>
      <c r="F321" s="1"/>
      <c r="G321" s="775"/>
      <c r="H321" s="1"/>
      <c r="I321" s="1"/>
      <c r="J321" s="1"/>
      <c r="K321" s="1"/>
      <c r="L321" s="116"/>
      <c r="M321" s="116"/>
      <c r="N321" s="116"/>
      <c r="O321" s="116"/>
      <c r="P321" s="375"/>
      <c r="Q321" s="116"/>
      <c r="R321" s="116"/>
      <c r="S321" s="116"/>
      <c r="T321" s="116"/>
      <c r="U321" s="116"/>
      <c r="V321" s="116"/>
      <c r="W321" s="116"/>
      <c r="X321" s="116"/>
      <c r="Y321" s="116"/>
      <c r="Z321" s="116"/>
      <c r="AA321" s="116"/>
      <c r="AB321" s="116"/>
      <c r="AC321" s="116"/>
      <c r="AD321" s="116"/>
      <c r="AE321" s="116"/>
      <c r="AF321" s="116"/>
      <c r="AG321" s="116"/>
      <c r="AH321" s="1"/>
      <c r="AI321" s="46"/>
      <c r="AJ321" s="46"/>
      <c r="AK321" s="46"/>
      <c r="AL321" s="46"/>
      <c r="AM321" s="46"/>
      <c r="AN321" s="46"/>
      <c r="AO321" s="46"/>
      <c r="AP321" s="46"/>
      <c r="AQ321" s="1"/>
      <c r="AR321" s="15"/>
      <c r="AS321" s="15"/>
      <c r="AT321" s="15"/>
      <c r="AU321" s="15"/>
      <c r="AV321" s="15"/>
      <c r="AW321" s="15"/>
      <c r="AX321" s="15"/>
      <c r="AY321" s="15"/>
      <c r="AZ321" s="15"/>
      <c r="BA321" s="15"/>
      <c r="BB321" s="15"/>
      <c r="BC321" s="15"/>
      <c r="BD321" s="102"/>
      <c r="BE321" s="15"/>
      <c r="BF321" s="15"/>
      <c r="BG321" s="15"/>
      <c r="BH321" s="15"/>
      <c r="BI321" s="15"/>
      <c r="BJ321" s="15"/>
      <c r="BK321" s="15"/>
      <c r="BL321" s="15"/>
      <c r="BM321" s="15"/>
      <c r="BN321" s="15"/>
      <c r="BO321" s="15"/>
      <c r="BP321" s="15"/>
      <c r="BQ321" s="242"/>
      <c r="BR321" s="15"/>
      <c r="BS321" s="15"/>
      <c r="BT321" s="15"/>
      <c r="BU321" s="15"/>
      <c r="BV321" s="15"/>
      <c r="BW321" s="15"/>
      <c r="BX321" s="15"/>
      <c r="BY321" s="15"/>
      <c r="BZ321" s="15"/>
      <c r="CA321" s="15"/>
      <c r="CB321" s="15"/>
      <c r="CC321" s="15"/>
      <c r="CD321" s="15"/>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f t="shared" si="60"/>
        <v>0</v>
      </c>
      <c r="DE321" s="1"/>
      <c r="DF321" s="1"/>
      <c r="DG321" s="1"/>
      <c r="DH321" s="1"/>
      <c r="DI321" s="1"/>
      <c r="DJ321" s="1"/>
      <c r="DK321" s="1"/>
      <c r="DL321" s="1"/>
      <c r="DM321" s="1"/>
      <c r="DN321" s="1"/>
      <c r="DO321" s="1"/>
      <c r="DP321" s="1"/>
      <c r="DQ321" s="1"/>
    </row>
    <row r="322" spans="1:121" x14ac:dyDescent="0.2">
      <c r="A322" s="855"/>
      <c r="B322" s="775"/>
      <c r="C322" s="833"/>
      <c r="D322" s="1" t="s">
        <v>1759</v>
      </c>
      <c r="E322" s="1"/>
      <c r="F322" s="1"/>
      <c r="G322" s="775"/>
      <c r="H322" s="1"/>
      <c r="I322" s="1"/>
      <c r="J322" s="1"/>
      <c r="K322" s="1"/>
      <c r="L322" s="116"/>
      <c r="M322" s="116"/>
      <c r="N322" s="116"/>
      <c r="O322" s="116"/>
      <c r="P322" s="375"/>
      <c r="Q322" s="116"/>
      <c r="R322" s="116"/>
      <c r="S322" s="116"/>
      <c r="T322" s="116"/>
      <c r="U322" s="116"/>
      <c r="V322" s="116"/>
      <c r="W322" s="116"/>
      <c r="X322" s="116"/>
      <c r="Y322" s="116"/>
      <c r="Z322" s="116"/>
      <c r="AA322" s="116"/>
      <c r="AB322" s="116"/>
      <c r="AC322" s="116"/>
      <c r="AD322" s="116"/>
      <c r="AE322" s="116"/>
      <c r="AF322" s="116"/>
      <c r="AG322" s="116"/>
      <c r="AH322" s="1"/>
      <c r="AI322" s="46"/>
      <c r="AJ322" s="46"/>
      <c r="AK322" s="46"/>
      <c r="AL322" s="46"/>
      <c r="AM322" s="46"/>
      <c r="AN322" s="46"/>
      <c r="AO322" s="46"/>
      <c r="AP322" s="46"/>
      <c r="AQ322" s="1"/>
      <c r="AR322" s="15"/>
      <c r="AS322" s="15"/>
      <c r="AT322" s="15"/>
      <c r="AU322" s="15"/>
      <c r="AV322" s="15"/>
      <c r="AW322" s="15"/>
      <c r="AX322" s="15"/>
      <c r="AY322" s="15"/>
      <c r="AZ322" s="15"/>
      <c r="BA322" s="15"/>
      <c r="BB322" s="15"/>
      <c r="BC322" s="15"/>
      <c r="BD322" s="102"/>
      <c r="BE322" s="15"/>
      <c r="BF322" s="15"/>
      <c r="BG322" s="15"/>
      <c r="BH322" s="15"/>
      <c r="BI322" s="15"/>
      <c r="BJ322" s="15"/>
      <c r="BK322" s="15"/>
      <c r="BL322" s="15"/>
      <c r="BM322" s="15"/>
      <c r="BN322" s="15"/>
      <c r="BO322" s="15"/>
      <c r="BP322" s="15"/>
      <c r="BQ322" s="242"/>
      <c r="BR322" s="15"/>
      <c r="BS322" s="15"/>
      <c r="BT322" s="15"/>
      <c r="BU322" s="15"/>
      <c r="BV322" s="15"/>
      <c r="BW322" s="15"/>
      <c r="BX322" s="15"/>
      <c r="BY322" s="15"/>
      <c r="BZ322" s="15"/>
      <c r="CA322" s="15"/>
      <c r="CB322" s="15"/>
      <c r="CC322" s="15"/>
      <c r="CD322" s="15"/>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f t="shared" si="60"/>
        <v>0</v>
      </c>
      <c r="DE322" s="1"/>
      <c r="DF322" s="1"/>
      <c r="DG322" s="1"/>
      <c r="DH322" s="1"/>
      <c r="DI322" s="1"/>
      <c r="DJ322" s="1"/>
      <c r="DK322" s="1"/>
      <c r="DL322" s="1"/>
      <c r="DM322" s="1"/>
      <c r="DN322" s="1"/>
      <c r="DO322" s="1"/>
      <c r="DP322" s="1"/>
      <c r="DQ322" s="1"/>
    </row>
    <row r="323" spans="1:121" x14ac:dyDescent="0.2">
      <c r="A323" s="855"/>
      <c r="B323" s="775"/>
      <c r="C323" s="833"/>
      <c r="D323" s="1" t="s">
        <v>1760</v>
      </c>
      <c r="E323" s="1"/>
      <c r="F323" s="1"/>
      <c r="G323" s="775"/>
      <c r="H323" s="1"/>
      <c r="I323" s="1"/>
      <c r="J323" s="1"/>
      <c r="K323" s="1"/>
      <c r="L323" s="116"/>
      <c r="M323" s="116"/>
      <c r="N323" s="116"/>
      <c r="O323" s="116"/>
      <c r="P323" s="375"/>
      <c r="Q323" s="116"/>
      <c r="R323" s="116"/>
      <c r="S323" s="116"/>
      <c r="T323" s="116"/>
      <c r="U323" s="116"/>
      <c r="V323" s="116"/>
      <c r="W323" s="116"/>
      <c r="X323" s="116"/>
      <c r="Y323" s="116"/>
      <c r="Z323" s="116"/>
      <c r="AA323" s="116"/>
      <c r="AB323" s="116"/>
      <c r="AC323" s="116"/>
      <c r="AD323" s="116"/>
      <c r="AE323" s="116"/>
      <c r="AF323" s="116"/>
      <c r="AG323" s="116"/>
      <c r="AH323" s="1"/>
      <c r="AI323" s="46"/>
      <c r="AJ323" s="46"/>
      <c r="AK323" s="46"/>
      <c r="AL323" s="46"/>
      <c r="AM323" s="46"/>
      <c r="AN323" s="46"/>
      <c r="AO323" s="46"/>
      <c r="AP323" s="46"/>
      <c r="AQ323" s="1"/>
      <c r="AR323" s="15"/>
      <c r="AS323" s="15"/>
      <c r="AT323" s="15"/>
      <c r="AU323" s="15"/>
      <c r="AV323" s="15"/>
      <c r="AW323" s="15"/>
      <c r="AX323" s="15"/>
      <c r="AY323" s="15"/>
      <c r="AZ323" s="15"/>
      <c r="BA323" s="15"/>
      <c r="BB323" s="15"/>
      <c r="BC323" s="15"/>
      <c r="BD323" s="102"/>
      <c r="BE323" s="15"/>
      <c r="BF323" s="15"/>
      <c r="BG323" s="15"/>
      <c r="BH323" s="15"/>
      <c r="BI323" s="15"/>
      <c r="BJ323" s="15"/>
      <c r="BK323" s="15"/>
      <c r="BL323" s="15"/>
      <c r="BM323" s="15"/>
      <c r="BN323" s="15"/>
      <c r="BO323" s="15"/>
      <c r="BP323" s="15"/>
      <c r="BQ323" s="242"/>
      <c r="BR323" s="15"/>
      <c r="BS323" s="15"/>
      <c r="BT323" s="15"/>
      <c r="BU323" s="15"/>
      <c r="BV323" s="15"/>
      <c r="BW323" s="15"/>
      <c r="BX323" s="15"/>
      <c r="BY323" s="15"/>
      <c r="BZ323" s="15"/>
      <c r="CA323" s="15"/>
      <c r="CB323" s="15"/>
      <c r="CC323" s="15"/>
      <c r="CD323" s="15"/>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f t="shared" si="60"/>
        <v>0</v>
      </c>
      <c r="DE323" s="1"/>
      <c r="DF323" s="1"/>
      <c r="DG323" s="1"/>
      <c r="DH323" s="1"/>
      <c r="DI323" s="1"/>
      <c r="DJ323" s="1"/>
      <c r="DK323" s="1"/>
      <c r="DL323" s="1"/>
      <c r="DM323" s="1"/>
      <c r="DN323" s="1"/>
      <c r="DO323" s="1"/>
      <c r="DP323" s="1"/>
      <c r="DQ323" s="1"/>
    </row>
    <row r="324" spans="1:121" x14ac:dyDescent="0.2">
      <c r="A324" s="855"/>
      <c r="B324" s="775"/>
      <c r="C324" s="833"/>
      <c r="D324" s="1" t="s">
        <v>1761</v>
      </c>
      <c r="E324" s="1"/>
      <c r="F324" s="1"/>
      <c r="G324" s="775"/>
      <c r="H324" s="1"/>
      <c r="I324" s="1"/>
      <c r="J324" s="1"/>
      <c r="K324" s="1"/>
      <c r="L324" s="116"/>
      <c r="M324" s="116"/>
      <c r="N324" s="116"/>
      <c r="O324" s="116"/>
      <c r="P324" s="375"/>
      <c r="Q324" s="116"/>
      <c r="R324" s="116"/>
      <c r="S324" s="116"/>
      <c r="T324" s="116"/>
      <c r="U324" s="116"/>
      <c r="V324" s="116"/>
      <c r="W324" s="116"/>
      <c r="X324" s="116"/>
      <c r="Y324" s="116"/>
      <c r="Z324" s="116"/>
      <c r="AA324" s="116"/>
      <c r="AB324" s="116"/>
      <c r="AC324" s="116"/>
      <c r="AD324" s="116"/>
      <c r="AE324" s="116"/>
      <c r="AF324" s="116"/>
      <c r="AG324" s="116"/>
      <c r="AH324" s="1"/>
      <c r="AI324" s="46"/>
      <c r="AJ324" s="46"/>
      <c r="AK324" s="46"/>
      <c r="AL324" s="46"/>
      <c r="AM324" s="46"/>
      <c r="AN324" s="46"/>
      <c r="AO324" s="46"/>
      <c r="AP324" s="46"/>
      <c r="AQ324" s="1"/>
      <c r="AR324" s="15"/>
      <c r="AS324" s="15"/>
      <c r="AT324" s="15"/>
      <c r="AU324" s="15"/>
      <c r="AV324" s="15"/>
      <c r="AW324" s="15"/>
      <c r="AX324" s="15"/>
      <c r="AY324" s="15"/>
      <c r="AZ324" s="15"/>
      <c r="BA324" s="15"/>
      <c r="BB324" s="15"/>
      <c r="BC324" s="15"/>
      <c r="BD324" s="102"/>
      <c r="BE324" s="15"/>
      <c r="BF324" s="15"/>
      <c r="BG324" s="15"/>
      <c r="BH324" s="15"/>
      <c r="BI324" s="15"/>
      <c r="BJ324" s="15"/>
      <c r="BK324" s="15"/>
      <c r="BL324" s="15"/>
      <c r="BM324" s="15"/>
      <c r="BN324" s="15"/>
      <c r="BO324" s="15"/>
      <c r="BP324" s="15"/>
      <c r="BQ324" s="242"/>
      <c r="BR324" s="15"/>
      <c r="BS324" s="15"/>
      <c r="BT324" s="15"/>
      <c r="BU324" s="15"/>
      <c r="BV324" s="15"/>
      <c r="BW324" s="15"/>
      <c r="BX324" s="15"/>
      <c r="BY324" s="15"/>
      <c r="BZ324" s="15"/>
      <c r="CA324" s="15"/>
      <c r="CB324" s="15"/>
      <c r="CC324" s="15"/>
      <c r="CD324" s="15"/>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f t="shared" si="60"/>
        <v>0</v>
      </c>
      <c r="DE324" s="1"/>
      <c r="DF324" s="1"/>
      <c r="DG324" s="1"/>
      <c r="DH324" s="1"/>
      <c r="DI324" s="1"/>
      <c r="DJ324" s="1"/>
      <c r="DK324" s="1"/>
      <c r="DL324" s="1"/>
      <c r="DM324" s="1"/>
      <c r="DN324" s="1"/>
      <c r="DO324" s="1"/>
      <c r="DP324" s="1"/>
      <c r="DQ324" s="1"/>
    </row>
    <row r="325" spans="1:121" x14ac:dyDescent="0.2">
      <c r="A325" s="855"/>
      <c r="B325" s="775"/>
      <c r="C325" s="833"/>
      <c r="D325" s="1" t="s">
        <v>1762</v>
      </c>
      <c r="E325" s="1"/>
      <c r="F325" s="1"/>
      <c r="G325" s="775"/>
      <c r="H325" s="1"/>
      <c r="I325" s="1"/>
      <c r="J325" s="1"/>
      <c r="K325" s="1"/>
      <c r="L325" s="116"/>
      <c r="M325" s="116"/>
      <c r="N325" s="116"/>
      <c r="O325" s="116"/>
      <c r="P325" s="375"/>
      <c r="Q325" s="116"/>
      <c r="R325" s="116"/>
      <c r="S325" s="116"/>
      <c r="T325" s="116"/>
      <c r="U325" s="116"/>
      <c r="V325" s="116"/>
      <c r="W325" s="116"/>
      <c r="X325" s="116"/>
      <c r="Y325" s="116"/>
      <c r="Z325" s="116"/>
      <c r="AA325" s="116"/>
      <c r="AB325" s="116"/>
      <c r="AC325" s="116"/>
      <c r="AD325" s="116"/>
      <c r="AE325" s="116"/>
      <c r="AF325" s="116"/>
      <c r="AG325" s="116"/>
      <c r="AH325" s="1"/>
      <c r="AI325" s="46"/>
      <c r="AJ325" s="46"/>
      <c r="AK325" s="46"/>
      <c r="AL325" s="46"/>
      <c r="AM325" s="46"/>
      <c r="AN325" s="46"/>
      <c r="AO325" s="46"/>
      <c r="AP325" s="46"/>
      <c r="AQ325" s="1"/>
      <c r="AR325" s="15"/>
      <c r="AS325" s="15"/>
      <c r="AT325" s="15"/>
      <c r="AU325" s="15"/>
      <c r="AV325" s="15"/>
      <c r="AW325" s="15"/>
      <c r="AX325" s="15"/>
      <c r="AY325" s="15"/>
      <c r="AZ325" s="15"/>
      <c r="BA325" s="15"/>
      <c r="BB325" s="15"/>
      <c r="BC325" s="15"/>
      <c r="BD325" s="102"/>
      <c r="BE325" s="15"/>
      <c r="BF325" s="15"/>
      <c r="BG325" s="15"/>
      <c r="BH325" s="15"/>
      <c r="BI325" s="15"/>
      <c r="BJ325" s="15"/>
      <c r="BK325" s="15"/>
      <c r="BL325" s="15"/>
      <c r="BM325" s="15"/>
      <c r="BN325" s="15"/>
      <c r="BO325" s="15"/>
      <c r="BP325" s="15"/>
      <c r="BQ325" s="242"/>
      <c r="BR325" s="15"/>
      <c r="BS325" s="15"/>
      <c r="BT325" s="15"/>
      <c r="BU325" s="15"/>
      <c r="BV325" s="15"/>
      <c r="BW325" s="15"/>
      <c r="BX325" s="15"/>
      <c r="BY325" s="15"/>
      <c r="BZ325" s="15"/>
      <c r="CA325" s="15"/>
      <c r="CB325" s="15"/>
      <c r="CC325" s="15"/>
      <c r="CD325" s="15"/>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f t="shared" si="60"/>
        <v>0</v>
      </c>
      <c r="DE325" s="1"/>
      <c r="DF325" s="1"/>
      <c r="DG325" s="1"/>
      <c r="DH325" s="1"/>
      <c r="DI325" s="1"/>
      <c r="DJ325" s="1"/>
      <c r="DK325" s="1"/>
      <c r="DL325" s="1"/>
      <c r="DM325" s="1"/>
      <c r="DN325" s="1"/>
      <c r="DO325" s="1"/>
      <c r="DP325" s="1"/>
      <c r="DQ325" s="1"/>
    </row>
    <row r="326" spans="1:121" x14ac:dyDescent="0.2">
      <c r="A326" s="855"/>
      <c r="B326" s="775"/>
      <c r="C326" s="833"/>
      <c r="D326" s="1" t="s">
        <v>1763</v>
      </c>
      <c r="E326" s="1"/>
      <c r="F326" s="1"/>
      <c r="G326" s="775"/>
      <c r="H326" s="1"/>
      <c r="I326" s="1"/>
      <c r="J326" s="1"/>
      <c r="K326" s="1"/>
      <c r="L326" s="116"/>
      <c r="M326" s="116"/>
      <c r="N326" s="116"/>
      <c r="O326" s="116"/>
      <c r="P326" s="375"/>
      <c r="Q326" s="116"/>
      <c r="R326" s="116"/>
      <c r="S326" s="116"/>
      <c r="T326" s="116"/>
      <c r="U326" s="116"/>
      <c r="V326" s="116"/>
      <c r="W326" s="116"/>
      <c r="X326" s="116"/>
      <c r="Y326" s="116"/>
      <c r="Z326" s="116"/>
      <c r="AA326" s="116"/>
      <c r="AB326" s="116"/>
      <c r="AC326" s="116"/>
      <c r="AD326" s="116"/>
      <c r="AE326" s="116"/>
      <c r="AF326" s="116"/>
      <c r="AG326" s="116"/>
      <c r="AH326" s="1"/>
      <c r="AI326" s="46"/>
      <c r="AJ326" s="46"/>
      <c r="AK326" s="46"/>
      <c r="AL326" s="46"/>
      <c r="AM326" s="46"/>
      <c r="AN326" s="46"/>
      <c r="AO326" s="46"/>
      <c r="AP326" s="46"/>
      <c r="AQ326" s="1"/>
      <c r="AR326" s="15"/>
      <c r="AS326" s="15"/>
      <c r="AT326" s="15"/>
      <c r="AU326" s="15"/>
      <c r="AV326" s="15"/>
      <c r="AW326" s="15"/>
      <c r="AX326" s="15"/>
      <c r="AY326" s="15"/>
      <c r="AZ326" s="15"/>
      <c r="BA326" s="15"/>
      <c r="BB326" s="15"/>
      <c r="BC326" s="15"/>
      <c r="BD326" s="102"/>
      <c r="BE326" s="15"/>
      <c r="BF326" s="15"/>
      <c r="BG326" s="15"/>
      <c r="BH326" s="15"/>
      <c r="BI326" s="15"/>
      <c r="BJ326" s="15"/>
      <c r="BK326" s="15"/>
      <c r="BL326" s="15"/>
      <c r="BM326" s="15"/>
      <c r="BN326" s="15"/>
      <c r="BO326" s="15"/>
      <c r="BP326" s="15"/>
      <c r="BQ326" s="242"/>
      <c r="BR326" s="15"/>
      <c r="BS326" s="15"/>
      <c r="BT326" s="15"/>
      <c r="BU326" s="15"/>
      <c r="BV326" s="15"/>
      <c r="BW326" s="15"/>
      <c r="BX326" s="15"/>
      <c r="BY326" s="15"/>
      <c r="BZ326" s="15"/>
      <c r="CA326" s="15"/>
      <c r="CB326" s="15"/>
      <c r="CC326" s="15"/>
      <c r="CD326" s="15"/>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f t="shared" si="60"/>
        <v>0</v>
      </c>
      <c r="DE326" s="1"/>
      <c r="DF326" s="1"/>
      <c r="DG326" s="1"/>
      <c r="DH326" s="1"/>
      <c r="DI326" s="1"/>
      <c r="DJ326" s="1"/>
      <c r="DK326" s="1"/>
      <c r="DL326" s="1"/>
      <c r="DM326" s="1"/>
      <c r="DN326" s="1"/>
      <c r="DO326" s="1"/>
      <c r="DP326" s="1"/>
      <c r="DQ326" s="1"/>
    </row>
    <row r="327" spans="1:121" x14ac:dyDescent="0.2">
      <c r="A327" s="855"/>
      <c r="B327" s="775"/>
      <c r="C327" s="833"/>
      <c r="D327" s="1" t="s">
        <v>1764</v>
      </c>
      <c r="E327" s="1"/>
      <c r="F327" s="1"/>
      <c r="G327" s="775"/>
      <c r="H327" s="1"/>
      <c r="I327" s="1"/>
      <c r="J327" s="1"/>
      <c r="K327" s="1"/>
      <c r="L327" s="116"/>
      <c r="M327" s="116"/>
      <c r="N327" s="116"/>
      <c r="O327" s="116"/>
      <c r="P327" s="375"/>
      <c r="Q327" s="116"/>
      <c r="R327" s="116"/>
      <c r="S327" s="116"/>
      <c r="T327" s="116"/>
      <c r="U327" s="116"/>
      <c r="V327" s="116"/>
      <c r="W327" s="116"/>
      <c r="X327" s="116"/>
      <c r="Y327" s="116"/>
      <c r="Z327" s="116"/>
      <c r="AA327" s="116"/>
      <c r="AB327" s="116"/>
      <c r="AC327" s="116"/>
      <c r="AD327" s="116"/>
      <c r="AE327" s="116"/>
      <c r="AF327" s="116"/>
      <c r="AG327" s="116"/>
      <c r="AH327" s="1"/>
      <c r="AI327" s="46"/>
      <c r="AJ327" s="46"/>
      <c r="AK327" s="46"/>
      <c r="AL327" s="46"/>
      <c r="AM327" s="46"/>
      <c r="AN327" s="46"/>
      <c r="AO327" s="46"/>
      <c r="AP327" s="46"/>
      <c r="AQ327" s="1"/>
      <c r="AR327" s="15"/>
      <c r="AS327" s="15"/>
      <c r="AT327" s="15"/>
      <c r="AU327" s="15"/>
      <c r="AV327" s="15"/>
      <c r="AW327" s="15"/>
      <c r="AX327" s="15"/>
      <c r="AY327" s="15"/>
      <c r="AZ327" s="15"/>
      <c r="BA327" s="15"/>
      <c r="BB327" s="15"/>
      <c r="BC327" s="15"/>
      <c r="BD327" s="102"/>
      <c r="BE327" s="15"/>
      <c r="BF327" s="15"/>
      <c r="BG327" s="15"/>
      <c r="BH327" s="15"/>
      <c r="BI327" s="15"/>
      <c r="BJ327" s="15"/>
      <c r="BK327" s="15"/>
      <c r="BL327" s="15"/>
      <c r="BM327" s="15"/>
      <c r="BN327" s="15"/>
      <c r="BO327" s="15"/>
      <c r="BP327" s="15"/>
      <c r="BQ327" s="242"/>
      <c r="BR327" s="15"/>
      <c r="BS327" s="15"/>
      <c r="BT327" s="15"/>
      <c r="BU327" s="15"/>
      <c r="BV327" s="15"/>
      <c r="BW327" s="15"/>
      <c r="BX327" s="15"/>
      <c r="BY327" s="15"/>
      <c r="BZ327" s="15"/>
      <c r="CA327" s="15"/>
      <c r="CB327" s="15"/>
      <c r="CC327" s="15"/>
      <c r="CD327" s="15"/>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f t="shared" si="60"/>
        <v>0</v>
      </c>
      <c r="DE327" s="1"/>
      <c r="DF327" s="1"/>
      <c r="DG327" s="1"/>
      <c r="DH327" s="1"/>
      <c r="DI327" s="1"/>
      <c r="DJ327" s="1"/>
      <c r="DK327" s="1"/>
      <c r="DL327" s="1"/>
      <c r="DM327" s="1"/>
      <c r="DN327" s="1"/>
      <c r="DO327" s="1"/>
      <c r="DP327" s="1"/>
      <c r="DQ327" s="1"/>
    </row>
    <row r="328" spans="1:121" x14ac:dyDescent="0.2">
      <c r="A328" s="855"/>
      <c r="B328" s="775"/>
      <c r="C328" s="833"/>
      <c r="D328" s="1" t="s">
        <v>1540</v>
      </c>
      <c r="E328" s="1"/>
      <c r="F328" s="1"/>
      <c r="G328" s="775"/>
      <c r="H328" s="1"/>
      <c r="I328" s="1"/>
      <c r="J328" s="1"/>
      <c r="K328" s="1"/>
      <c r="L328" s="116"/>
      <c r="M328" s="116"/>
      <c r="N328" s="116"/>
      <c r="O328" s="116"/>
      <c r="P328" s="375"/>
      <c r="Q328" s="116"/>
      <c r="R328" s="116"/>
      <c r="S328" s="116"/>
      <c r="T328" s="116"/>
      <c r="U328" s="116"/>
      <c r="V328" s="116"/>
      <c r="W328" s="116"/>
      <c r="X328" s="116"/>
      <c r="Y328" s="116"/>
      <c r="Z328" s="116"/>
      <c r="AA328" s="116"/>
      <c r="AB328" s="116"/>
      <c r="AC328" s="116"/>
      <c r="AD328" s="116"/>
      <c r="AE328" s="116"/>
      <c r="AF328" s="116"/>
      <c r="AG328" s="116"/>
      <c r="AH328" s="1"/>
      <c r="AI328" s="46"/>
      <c r="AJ328" s="46"/>
      <c r="AK328" s="46"/>
      <c r="AL328" s="46"/>
      <c r="AM328" s="46"/>
      <c r="AN328" s="46"/>
      <c r="AO328" s="46"/>
      <c r="AP328" s="46"/>
      <c r="AQ328" s="1"/>
      <c r="AR328" s="15"/>
      <c r="AS328" s="15"/>
      <c r="AT328" s="15"/>
      <c r="AU328" s="15"/>
      <c r="AV328" s="15"/>
      <c r="AW328" s="15"/>
      <c r="AX328" s="15"/>
      <c r="AY328" s="15"/>
      <c r="AZ328" s="15"/>
      <c r="BA328" s="15"/>
      <c r="BB328" s="15"/>
      <c r="BC328" s="15"/>
      <c r="BD328" s="102"/>
      <c r="BE328" s="15"/>
      <c r="BF328" s="15"/>
      <c r="BG328" s="15"/>
      <c r="BH328" s="15"/>
      <c r="BI328" s="15"/>
      <c r="BJ328" s="15"/>
      <c r="BK328" s="15"/>
      <c r="BL328" s="15"/>
      <c r="BM328" s="15"/>
      <c r="BN328" s="15"/>
      <c r="BO328" s="15"/>
      <c r="BP328" s="15"/>
      <c r="BQ328" s="242"/>
      <c r="BR328" s="15"/>
      <c r="BS328" s="15"/>
      <c r="BT328" s="15"/>
      <c r="BU328" s="15"/>
      <c r="BV328" s="15"/>
      <c r="BW328" s="15"/>
      <c r="BX328" s="15"/>
      <c r="BY328" s="15"/>
      <c r="BZ328" s="15"/>
      <c r="CA328" s="15"/>
      <c r="CB328" s="15"/>
      <c r="CC328" s="15"/>
      <c r="CD328" s="15"/>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f t="shared" si="60"/>
        <v>0</v>
      </c>
      <c r="DE328" s="1"/>
      <c r="DF328" s="1"/>
      <c r="DG328" s="1"/>
      <c r="DH328" s="1"/>
      <c r="DI328" s="1"/>
      <c r="DJ328" s="1"/>
      <c r="DK328" s="1"/>
      <c r="DL328" s="1"/>
      <c r="DM328" s="1"/>
      <c r="DN328" s="1"/>
      <c r="DO328" s="1"/>
      <c r="DP328" s="1"/>
      <c r="DQ328" s="1"/>
    </row>
    <row r="329" spans="1:121" x14ac:dyDescent="0.2">
      <c r="A329" s="855"/>
      <c r="B329" s="775"/>
      <c r="C329" s="833"/>
      <c r="D329" s="1" t="s">
        <v>1765</v>
      </c>
      <c r="E329" s="1"/>
      <c r="F329" s="1"/>
      <c r="G329" s="775"/>
      <c r="H329" s="1"/>
      <c r="I329" s="1"/>
      <c r="J329" s="1"/>
      <c r="K329" s="1"/>
      <c r="L329" s="116"/>
      <c r="M329" s="116"/>
      <c r="N329" s="116"/>
      <c r="O329" s="116"/>
      <c r="P329" s="375"/>
      <c r="Q329" s="116"/>
      <c r="R329" s="116"/>
      <c r="S329" s="116"/>
      <c r="T329" s="116"/>
      <c r="U329" s="116"/>
      <c r="V329" s="116"/>
      <c r="W329" s="116"/>
      <c r="X329" s="116"/>
      <c r="Y329" s="116"/>
      <c r="Z329" s="116"/>
      <c r="AA329" s="116"/>
      <c r="AB329" s="116"/>
      <c r="AC329" s="116"/>
      <c r="AD329" s="116"/>
      <c r="AE329" s="116"/>
      <c r="AF329" s="116"/>
      <c r="AG329" s="116"/>
      <c r="AH329" s="1"/>
      <c r="AI329" s="46"/>
      <c r="AJ329" s="46"/>
      <c r="AK329" s="46"/>
      <c r="AL329" s="46"/>
      <c r="AM329" s="46"/>
      <c r="AN329" s="46"/>
      <c r="AO329" s="46"/>
      <c r="AP329" s="46"/>
      <c r="AQ329" s="1"/>
      <c r="AR329" s="15"/>
      <c r="AS329" s="15"/>
      <c r="AT329" s="15"/>
      <c r="AU329" s="15"/>
      <c r="AV329" s="15"/>
      <c r="AW329" s="15"/>
      <c r="AX329" s="15"/>
      <c r="AY329" s="15"/>
      <c r="AZ329" s="15"/>
      <c r="BA329" s="15"/>
      <c r="BB329" s="15"/>
      <c r="BC329" s="15"/>
      <c r="BD329" s="102"/>
      <c r="BE329" s="15"/>
      <c r="BF329" s="15"/>
      <c r="BG329" s="15"/>
      <c r="BH329" s="15"/>
      <c r="BI329" s="15"/>
      <c r="BJ329" s="15"/>
      <c r="BK329" s="15"/>
      <c r="BL329" s="15"/>
      <c r="BM329" s="15"/>
      <c r="BN329" s="15"/>
      <c r="BO329" s="15"/>
      <c r="BP329" s="15"/>
      <c r="BQ329" s="242"/>
      <c r="BR329" s="15"/>
      <c r="BS329" s="15"/>
      <c r="BT329" s="15"/>
      <c r="BU329" s="15"/>
      <c r="BV329" s="15"/>
      <c r="BW329" s="15"/>
      <c r="BX329" s="15"/>
      <c r="BY329" s="15"/>
      <c r="BZ329" s="15"/>
      <c r="CA329" s="15"/>
      <c r="CB329" s="15"/>
      <c r="CC329" s="15"/>
      <c r="CD329" s="15"/>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f t="shared" si="60"/>
        <v>0</v>
      </c>
      <c r="DE329" s="1"/>
      <c r="DF329" s="1"/>
      <c r="DG329" s="1"/>
      <c r="DH329" s="1"/>
      <c r="DI329" s="1"/>
      <c r="DJ329" s="1"/>
      <c r="DK329" s="1"/>
      <c r="DL329" s="1"/>
      <c r="DM329" s="1"/>
      <c r="DN329" s="1"/>
      <c r="DO329" s="1"/>
      <c r="DP329" s="1"/>
      <c r="DQ329" s="1"/>
    </row>
    <row r="330" spans="1:121" x14ac:dyDescent="0.2">
      <c r="A330" s="855"/>
      <c r="B330" s="775"/>
      <c r="C330" s="833"/>
      <c r="D330" s="1" t="s">
        <v>1766</v>
      </c>
      <c r="E330" s="1"/>
      <c r="F330" s="1"/>
      <c r="G330" s="775"/>
      <c r="H330" s="1"/>
      <c r="I330" s="1"/>
      <c r="J330" s="1"/>
      <c r="K330" s="1"/>
      <c r="L330" s="116"/>
      <c r="M330" s="116"/>
      <c r="N330" s="116"/>
      <c r="O330" s="116"/>
      <c r="P330" s="375"/>
      <c r="Q330" s="116"/>
      <c r="R330" s="116"/>
      <c r="S330" s="116"/>
      <c r="T330" s="116"/>
      <c r="U330" s="116"/>
      <c r="V330" s="116"/>
      <c r="W330" s="116"/>
      <c r="X330" s="116"/>
      <c r="Y330" s="116"/>
      <c r="Z330" s="116"/>
      <c r="AA330" s="116"/>
      <c r="AB330" s="116"/>
      <c r="AC330" s="116"/>
      <c r="AD330" s="116"/>
      <c r="AE330" s="116"/>
      <c r="AF330" s="116"/>
      <c r="AG330" s="116"/>
      <c r="AH330" s="1"/>
      <c r="AI330" s="46"/>
      <c r="AJ330" s="46"/>
      <c r="AK330" s="46"/>
      <c r="AL330" s="46"/>
      <c r="AM330" s="46"/>
      <c r="AN330" s="46"/>
      <c r="AO330" s="46"/>
      <c r="AP330" s="46"/>
      <c r="AQ330" s="1"/>
      <c r="AR330" s="15"/>
      <c r="AS330" s="15"/>
      <c r="AT330" s="15"/>
      <c r="AU330" s="15"/>
      <c r="AV330" s="15"/>
      <c r="AW330" s="15"/>
      <c r="AX330" s="15"/>
      <c r="AY330" s="15"/>
      <c r="AZ330" s="15"/>
      <c r="BA330" s="15"/>
      <c r="BB330" s="15"/>
      <c r="BC330" s="15"/>
      <c r="BD330" s="102"/>
      <c r="BE330" s="15"/>
      <c r="BF330" s="15"/>
      <c r="BG330" s="15"/>
      <c r="BH330" s="15"/>
      <c r="BI330" s="15"/>
      <c r="BJ330" s="15"/>
      <c r="BK330" s="15"/>
      <c r="BL330" s="15"/>
      <c r="BM330" s="15"/>
      <c r="BN330" s="15"/>
      <c r="BO330" s="15"/>
      <c r="BP330" s="15"/>
      <c r="BQ330" s="242"/>
      <c r="BR330" s="15"/>
      <c r="BS330" s="15"/>
      <c r="BT330" s="15"/>
      <c r="BU330" s="15"/>
      <c r="BV330" s="15"/>
      <c r="BW330" s="15"/>
      <c r="BX330" s="15"/>
      <c r="BY330" s="15"/>
      <c r="BZ330" s="15"/>
      <c r="CA330" s="15"/>
      <c r="CB330" s="15"/>
      <c r="CC330" s="15"/>
      <c r="CD330" s="15"/>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f t="shared" si="60"/>
        <v>0</v>
      </c>
      <c r="DE330" s="1"/>
      <c r="DF330" s="1"/>
      <c r="DG330" s="1"/>
      <c r="DH330" s="1"/>
      <c r="DI330" s="1"/>
      <c r="DJ330" s="1"/>
      <c r="DK330" s="1"/>
      <c r="DL330" s="1"/>
      <c r="DM330" s="1"/>
      <c r="DN330" s="1"/>
      <c r="DO330" s="1"/>
      <c r="DP330" s="1"/>
      <c r="DQ330" s="1"/>
    </row>
    <row r="331" spans="1:121" x14ac:dyDescent="0.2">
      <c r="A331" s="855"/>
      <c r="B331" s="775"/>
      <c r="C331" s="833"/>
      <c r="D331" s="1" t="s">
        <v>1548</v>
      </c>
      <c r="E331" s="1"/>
      <c r="F331" s="1"/>
      <c r="G331" s="775"/>
      <c r="H331" s="1"/>
      <c r="I331" s="1"/>
      <c r="J331" s="1"/>
      <c r="K331" s="1"/>
      <c r="L331" s="116"/>
      <c r="M331" s="116"/>
      <c r="N331" s="116"/>
      <c r="O331" s="116"/>
      <c r="P331" s="375"/>
      <c r="Q331" s="116"/>
      <c r="R331" s="116"/>
      <c r="S331" s="116"/>
      <c r="T331" s="116"/>
      <c r="U331" s="116"/>
      <c r="V331" s="116"/>
      <c r="W331" s="116"/>
      <c r="X331" s="116"/>
      <c r="Y331" s="116"/>
      <c r="Z331" s="116"/>
      <c r="AA331" s="116"/>
      <c r="AB331" s="116"/>
      <c r="AC331" s="116"/>
      <c r="AD331" s="116"/>
      <c r="AE331" s="116"/>
      <c r="AF331" s="116"/>
      <c r="AG331" s="116"/>
      <c r="AH331" s="1"/>
      <c r="AI331" s="46"/>
      <c r="AJ331" s="46"/>
      <c r="AK331" s="46"/>
      <c r="AL331" s="46"/>
      <c r="AM331" s="46"/>
      <c r="AN331" s="46"/>
      <c r="AO331" s="46"/>
      <c r="AP331" s="46"/>
      <c r="AQ331" s="1"/>
      <c r="AR331" s="15"/>
      <c r="AS331" s="15"/>
      <c r="AT331" s="15"/>
      <c r="AU331" s="15"/>
      <c r="AV331" s="15"/>
      <c r="AW331" s="15"/>
      <c r="AX331" s="15"/>
      <c r="AY331" s="15"/>
      <c r="AZ331" s="15"/>
      <c r="BA331" s="15"/>
      <c r="BB331" s="15"/>
      <c r="BC331" s="15"/>
      <c r="BD331" s="102"/>
      <c r="BE331" s="15"/>
      <c r="BF331" s="15"/>
      <c r="BG331" s="15"/>
      <c r="BH331" s="15"/>
      <c r="BI331" s="15"/>
      <c r="BJ331" s="15"/>
      <c r="BK331" s="15"/>
      <c r="BL331" s="15"/>
      <c r="BM331" s="15"/>
      <c r="BN331" s="15"/>
      <c r="BO331" s="15"/>
      <c r="BP331" s="15"/>
      <c r="BQ331" s="242"/>
      <c r="BR331" s="15"/>
      <c r="BS331" s="15"/>
      <c r="BT331" s="15"/>
      <c r="BU331" s="15"/>
      <c r="BV331" s="15"/>
      <c r="BW331" s="15"/>
      <c r="BX331" s="15"/>
      <c r="BY331" s="15"/>
      <c r="BZ331" s="15"/>
      <c r="CA331" s="15"/>
      <c r="CB331" s="15"/>
      <c r="CC331" s="15"/>
      <c r="CD331" s="15"/>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f t="shared" si="60"/>
        <v>0</v>
      </c>
      <c r="DE331" s="1"/>
      <c r="DF331" s="1"/>
      <c r="DG331" s="1"/>
      <c r="DH331" s="1"/>
      <c r="DI331" s="1"/>
      <c r="DJ331" s="1"/>
      <c r="DK331" s="1"/>
      <c r="DL331" s="1"/>
      <c r="DM331" s="1"/>
      <c r="DN331" s="1"/>
      <c r="DO331" s="1"/>
      <c r="DP331" s="1"/>
      <c r="DQ331" s="1"/>
    </row>
    <row r="332" spans="1:121" x14ac:dyDescent="0.2">
      <c r="A332" s="855"/>
      <c r="B332" s="775"/>
      <c r="C332" s="833"/>
      <c r="D332" s="1" t="s">
        <v>1767</v>
      </c>
      <c r="E332" s="1"/>
      <c r="F332" s="1"/>
      <c r="G332" s="775"/>
      <c r="H332" s="1"/>
      <c r="I332" s="1"/>
      <c r="J332" s="1"/>
      <c r="K332" s="1"/>
      <c r="L332" s="116"/>
      <c r="M332" s="116"/>
      <c r="N332" s="116"/>
      <c r="O332" s="116"/>
      <c r="P332" s="375"/>
      <c r="Q332" s="116"/>
      <c r="R332" s="116"/>
      <c r="S332" s="116"/>
      <c r="T332" s="116"/>
      <c r="U332" s="116"/>
      <c r="V332" s="116"/>
      <c r="W332" s="116"/>
      <c r="X332" s="116"/>
      <c r="Y332" s="116"/>
      <c r="Z332" s="116"/>
      <c r="AA332" s="116"/>
      <c r="AB332" s="116"/>
      <c r="AC332" s="116"/>
      <c r="AD332" s="116"/>
      <c r="AE332" s="116"/>
      <c r="AF332" s="116"/>
      <c r="AG332" s="116"/>
      <c r="AH332" s="1"/>
      <c r="AI332" s="46"/>
      <c r="AJ332" s="46"/>
      <c r="AK332" s="46"/>
      <c r="AL332" s="46"/>
      <c r="AM332" s="46"/>
      <c r="AN332" s="46"/>
      <c r="AO332" s="46"/>
      <c r="AP332" s="46"/>
      <c r="AQ332" s="1"/>
      <c r="AR332" s="15"/>
      <c r="AS332" s="15"/>
      <c r="AT332" s="15"/>
      <c r="AU332" s="15"/>
      <c r="AV332" s="15"/>
      <c r="AW332" s="15"/>
      <c r="AX332" s="15"/>
      <c r="AY332" s="15"/>
      <c r="AZ332" s="15"/>
      <c r="BA332" s="15"/>
      <c r="BB332" s="15"/>
      <c r="BC332" s="15"/>
      <c r="BD332" s="102"/>
      <c r="BE332" s="15"/>
      <c r="BF332" s="15"/>
      <c r="BG332" s="15"/>
      <c r="BH332" s="15"/>
      <c r="BI332" s="15"/>
      <c r="BJ332" s="15"/>
      <c r="BK332" s="15"/>
      <c r="BL332" s="15"/>
      <c r="BM332" s="15"/>
      <c r="BN332" s="15"/>
      <c r="BO332" s="15"/>
      <c r="BP332" s="15"/>
      <c r="BQ332" s="242"/>
      <c r="BR332" s="15"/>
      <c r="BS332" s="15"/>
      <c r="BT332" s="15"/>
      <c r="BU332" s="15"/>
      <c r="BV332" s="15"/>
      <c r="BW332" s="15"/>
      <c r="BX332" s="15"/>
      <c r="BY332" s="15"/>
      <c r="BZ332" s="15"/>
      <c r="CA332" s="15"/>
      <c r="CB332" s="15"/>
      <c r="CC332" s="15"/>
      <c r="CD332" s="15"/>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f t="shared" si="60"/>
        <v>0</v>
      </c>
      <c r="DE332" s="1"/>
      <c r="DF332" s="1"/>
      <c r="DG332" s="1"/>
      <c r="DH332" s="1"/>
      <c r="DI332" s="1"/>
      <c r="DJ332" s="1"/>
      <c r="DK332" s="1"/>
      <c r="DL332" s="1"/>
      <c r="DM332" s="1"/>
      <c r="DN332" s="1"/>
      <c r="DO332" s="1"/>
      <c r="DP332" s="1"/>
      <c r="DQ332" s="1"/>
    </row>
    <row r="333" spans="1:121" x14ac:dyDescent="0.2">
      <c r="A333" s="855"/>
      <c r="B333" s="775"/>
      <c r="C333" s="833"/>
      <c r="D333" s="1" t="s">
        <v>1768</v>
      </c>
      <c r="E333" s="1"/>
      <c r="F333" s="1"/>
      <c r="G333" s="775"/>
      <c r="H333" s="1"/>
      <c r="I333" s="1"/>
      <c r="J333" s="1"/>
      <c r="K333" s="1"/>
      <c r="L333" s="116"/>
      <c r="M333" s="116"/>
      <c r="N333" s="116"/>
      <c r="O333" s="116"/>
      <c r="P333" s="375"/>
      <c r="Q333" s="116"/>
      <c r="R333" s="116"/>
      <c r="S333" s="116"/>
      <c r="T333" s="116"/>
      <c r="U333" s="116"/>
      <c r="V333" s="116"/>
      <c r="W333" s="116"/>
      <c r="X333" s="116"/>
      <c r="Y333" s="116"/>
      <c r="Z333" s="116"/>
      <c r="AA333" s="116"/>
      <c r="AB333" s="116"/>
      <c r="AC333" s="116"/>
      <c r="AD333" s="116"/>
      <c r="AE333" s="116"/>
      <c r="AF333" s="116"/>
      <c r="AG333" s="116"/>
      <c r="AH333" s="1"/>
      <c r="AI333" s="46"/>
      <c r="AJ333" s="46"/>
      <c r="AK333" s="46"/>
      <c r="AL333" s="46"/>
      <c r="AM333" s="46"/>
      <c r="AN333" s="46"/>
      <c r="AO333" s="46"/>
      <c r="AP333" s="46"/>
      <c r="AQ333" s="1"/>
      <c r="AR333" s="15"/>
      <c r="AS333" s="15"/>
      <c r="AT333" s="15"/>
      <c r="AU333" s="15"/>
      <c r="AV333" s="15"/>
      <c r="AW333" s="15"/>
      <c r="AX333" s="15"/>
      <c r="AY333" s="15"/>
      <c r="AZ333" s="15"/>
      <c r="BA333" s="15"/>
      <c r="BB333" s="15"/>
      <c r="BC333" s="15"/>
      <c r="BD333" s="102"/>
      <c r="BE333" s="15"/>
      <c r="BF333" s="15"/>
      <c r="BG333" s="15"/>
      <c r="BH333" s="15"/>
      <c r="BI333" s="15"/>
      <c r="BJ333" s="15"/>
      <c r="BK333" s="15"/>
      <c r="BL333" s="15"/>
      <c r="BM333" s="15"/>
      <c r="BN333" s="15"/>
      <c r="BO333" s="15"/>
      <c r="BP333" s="15"/>
      <c r="BQ333" s="242"/>
      <c r="BR333" s="15"/>
      <c r="BS333" s="15"/>
      <c r="BT333" s="15"/>
      <c r="BU333" s="15"/>
      <c r="BV333" s="15"/>
      <c r="BW333" s="15"/>
      <c r="BX333" s="15"/>
      <c r="BY333" s="15"/>
      <c r="BZ333" s="15"/>
      <c r="CA333" s="15"/>
      <c r="CB333" s="15"/>
      <c r="CC333" s="15"/>
      <c r="CD333" s="15"/>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f t="shared" si="60"/>
        <v>0</v>
      </c>
      <c r="DE333" s="1"/>
      <c r="DF333" s="1"/>
      <c r="DG333" s="1"/>
      <c r="DH333" s="1"/>
      <c r="DI333" s="1"/>
      <c r="DJ333" s="1"/>
      <c r="DK333" s="1"/>
      <c r="DL333" s="1"/>
      <c r="DM333" s="1"/>
      <c r="DN333" s="1"/>
      <c r="DO333" s="1"/>
      <c r="DP333" s="1"/>
      <c r="DQ333" s="1"/>
    </row>
    <row r="334" spans="1:121" x14ac:dyDescent="0.2">
      <c r="A334" s="855"/>
      <c r="B334" s="775"/>
      <c r="C334" s="833"/>
      <c r="D334" s="1" t="s">
        <v>1769</v>
      </c>
      <c r="E334" s="1"/>
      <c r="F334" s="1"/>
      <c r="G334" s="775"/>
      <c r="H334" s="1"/>
      <c r="I334" s="1"/>
      <c r="J334" s="1"/>
      <c r="K334" s="1"/>
      <c r="L334" s="116"/>
      <c r="M334" s="116"/>
      <c r="N334" s="116"/>
      <c r="O334" s="116"/>
      <c r="P334" s="375"/>
      <c r="Q334" s="116"/>
      <c r="R334" s="116"/>
      <c r="S334" s="116"/>
      <c r="T334" s="116"/>
      <c r="U334" s="116"/>
      <c r="V334" s="116"/>
      <c r="W334" s="116"/>
      <c r="X334" s="116"/>
      <c r="Y334" s="116"/>
      <c r="Z334" s="116"/>
      <c r="AA334" s="116"/>
      <c r="AB334" s="116"/>
      <c r="AC334" s="116"/>
      <c r="AD334" s="116"/>
      <c r="AE334" s="116"/>
      <c r="AF334" s="116"/>
      <c r="AG334" s="116"/>
      <c r="AH334" s="1"/>
      <c r="AI334" s="46"/>
      <c r="AJ334" s="46"/>
      <c r="AK334" s="46"/>
      <c r="AL334" s="46"/>
      <c r="AM334" s="46"/>
      <c r="AN334" s="46"/>
      <c r="AO334" s="46"/>
      <c r="AP334" s="46"/>
      <c r="AQ334" s="1"/>
      <c r="AR334" s="15"/>
      <c r="AS334" s="15"/>
      <c r="AT334" s="15"/>
      <c r="AU334" s="15"/>
      <c r="AV334" s="15"/>
      <c r="AW334" s="15"/>
      <c r="AX334" s="15"/>
      <c r="AY334" s="15"/>
      <c r="AZ334" s="15"/>
      <c r="BA334" s="15"/>
      <c r="BB334" s="15"/>
      <c r="BC334" s="15"/>
      <c r="BD334" s="102"/>
      <c r="BE334" s="15"/>
      <c r="BF334" s="15"/>
      <c r="BG334" s="15"/>
      <c r="BH334" s="15"/>
      <c r="BI334" s="15"/>
      <c r="BJ334" s="15"/>
      <c r="BK334" s="15"/>
      <c r="BL334" s="15"/>
      <c r="BM334" s="15"/>
      <c r="BN334" s="15"/>
      <c r="BO334" s="15"/>
      <c r="BP334" s="15"/>
      <c r="BQ334" s="242"/>
      <c r="BR334" s="15"/>
      <c r="BS334" s="15"/>
      <c r="BT334" s="15"/>
      <c r="BU334" s="15"/>
      <c r="BV334" s="15"/>
      <c r="BW334" s="15"/>
      <c r="BX334" s="15"/>
      <c r="BY334" s="15"/>
      <c r="BZ334" s="15"/>
      <c r="CA334" s="15"/>
      <c r="CB334" s="15"/>
      <c r="CC334" s="15"/>
      <c r="CD334" s="15"/>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f t="shared" si="60"/>
        <v>0</v>
      </c>
      <c r="DE334" s="1"/>
      <c r="DF334" s="1"/>
      <c r="DG334" s="1"/>
      <c r="DH334" s="1"/>
      <c r="DI334" s="1"/>
      <c r="DJ334" s="1"/>
      <c r="DK334" s="1"/>
      <c r="DL334" s="1"/>
      <c r="DM334" s="1"/>
      <c r="DN334" s="1"/>
      <c r="DO334" s="1"/>
      <c r="DP334" s="1"/>
      <c r="DQ334" s="1"/>
    </row>
    <row r="335" spans="1:121" x14ac:dyDescent="0.2">
      <c r="A335" s="855"/>
      <c r="B335" s="775"/>
      <c r="C335" s="833"/>
      <c r="D335" s="1" t="s">
        <v>1770</v>
      </c>
      <c r="E335" s="1"/>
      <c r="F335" s="1"/>
      <c r="G335" s="775"/>
      <c r="H335" s="1"/>
      <c r="I335" s="1"/>
      <c r="J335" s="1"/>
      <c r="K335" s="1"/>
      <c r="L335" s="116"/>
      <c r="M335" s="116"/>
      <c r="N335" s="116"/>
      <c r="O335" s="116"/>
      <c r="P335" s="375"/>
      <c r="Q335" s="116"/>
      <c r="R335" s="116"/>
      <c r="S335" s="116"/>
      <c r="T335" s="116"/>
      <c r="U335" s="116"/>
      <c r="V335" s="116"/>
      <c r="W335" s="116"/>
      <c r="X335" s="116"/>
      <c r="Y335" s="116"/>
      <c r="Z335" s="116"/>
      <c r="AA335" s="116"/>
      <c r="AB335" s="116"/>
      <c r="AC335" s="116"/>
      <c r="AD335" s="116"/>
      <c r="AE335" s="116"/>
      <c r="AF335" s="116"/>
      <c r="AG335" s="116"/>
      <c r="AH335" s="1"/>
      <c r="AI335" s="46"/>
      <c r="AJ335" s="46"/>
      <c r="AK335" s="46"/>
      <c r="AL335" s="46"/>
      <c r="AM335" s="46"/>
      <c r="AN335" s="46"/>
      <c r="AO335" s="46"/>
      <c r="AP335" s="46"/>
      <c r="AQ335" s="1"/>
      <c r="AR335" s="15"/>
      <c r="AS335" s="15"/>
      <c r="AT335" s="15"/>
      <c r="AU335" s="15"/>
      <c r="AV335" s="15"/>
      <c r="AW335" s="15"/>
      <c r="AX335" s="15"/>
      <c r="AY335" s="15"/>
      <c r="AZ335" s="15"/>
      <c r="BA335" s="15"/>
      <c r="BB335" s="15"/>
      <c r="BC335" s="15"/>
      <c r="BD335" s="102"/>
      <c r="BE335" s="15"/>
      <c r="BF335" s="15"/>
      <c r="BG335" s="15"/>
      <c r="BH335" s="15"/>
      <c r="BI335" s="15"/>
      <c r="BJ335" s="15"/>
      <c r="BK335" s="15"/>
      <c r="BL335" s="15"/>
      <c r="BM335" s="15"/>
      <c r="BN335" s="15"/>
      <c r="BO335" s="15"/>
      <c r="BP335" s="15"/>
      <c r="BQ335" s="242"/>
      <c r="BR335" s="15"/>
      <c r="BS335" s="15"/>
      <c r="BT335" s="15"/>
      <c r="BU335" s="15"/>
      <c r="BV335" s="15"/>
      <c r="BW335" s="15"/>
      <c r="BX335" s="15"/>
      <c r="BY335" s="15"/>
      <c r="BZ335" s="15"/>
      <c r="CA335" s="15"/>
      <c r="CB335" s="15"/>
      <c r="CC335" s="15"/>
      <c r="CD335" s="15"/>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f t="shared" si="60"/>
        <v>0</v>
      </c>
      <c r="DE335" s="1"/>
      <c r="DF335" s="1"/>
      <c r="DG335" s="1"/>
      <c r="DH335" s="1"/>
      <c r="DI335" s="1"/>
      <c r="DJ335" s="1"/>
      <c r="DK335" s="1"/>
      <c r="DL335" s="1"/>
      <c r="DM335" s="1"/>
      <c r="DN335" s="1"/>
      <c r="DO335" s="1"/>
      <c r="DP335" s="1"/>
      <c r="DQ335" s="1"/>
    </row>
    <row r="336" spans="1:121" x14ac:dyDescent="0.2">
      <c r="A336" s="855"/>
      <c r="B336" s="775"/>
      <c r="C336" s="833"/>
      <c r="D336" s="1" t="s">
        <v>1771</v>
      </c>
      <c r="E336" s="1"/>
      <c r="F336" s="1"/>
      <c r="G336" s="775"/>
      <c r="H336" s="1"/>
      <c r="I336" s="1"/>
      <c r="J336" s="1"/>
      <c r="K336" s="1"/>
      <c r="L336" s="116"/>
      <c r="M336" s="116"/>
      <c r="N336" s="116"/>
      <c r="O336" s="116"/>
      <c r="P336" s="375"/>
      <c r="Q336" s="116"/>
      <c r="R336" s="116"/>
      <c r="S336" s="116"/>
      <c r="T336" s="116"/>
      <c r="U336" s="116"/>
      <c r="V336" s="116"/>
      <c r="W336" s="116"/>
      <c r="X336" s="116"/>
      <c r="Y336" s="116"/>
      <c r="Z336" s="116"/>
      <c r="AA336" s="116"/>
      <c r="AB336" s="116"/>
      <c r="AC336" s="116"/>
      <c r="AD336" s="116"/>
      <c r="AE336" s="116"/>
      <c r="AF336" s="116"/>
      <c r="AG336" s="116"/>
      <c r="AH336" s="1"/>
      <c r="AI336" s="46"/>
      <c r="AJ336" s="46"/>
      <c r="AK336" s="46"/>
      <c r="AL336" s="46"/>
      <c r="AM336" s="46"/>
      <c r="AN336" s="46"/>
      <c r="AO336" s="46"/>
      <c r="AP336" s="46"/>
      <c r="AQ336" s="1"/>
      <c r="AR336" s="15"/>
      <c r="AS336" s="15"/>
      <c r="AT336" s="15"/>
      <c r="AU336" s="15"/>
      <c r="AV336" s="15"/>
      <c r="AW336" s="15"/>
      <c r="AX336" s="15"/>
      <c r="AY336" s="15"/>
      <c r="AZ336" s="15"/>
      <c r="BA336" s="15"/>
      <c r="BB336" s="15"/>
      <c r="BC336" s="15"/>
      <c r="BD336" s="102"/>
      <c r="BE336" s="15"/>
      <c r="BF336" s="15"/>
      <c r="BG336" s="15"/>
      <c r="BH336" s="15"/>
      <c r="BI336" s="15"/>
      <c r="BJ336" s="15"/>
      <c r="BK336" s="15"/>
      <c r="BL336" s="15"/>
      <c r="BM336" s="15"/>
      <c r="BN336" s="15"/>
      <c r="BO336" s="15"/>
      <c r="BP336" s="15"/>
      <c r="BQ336" s="242"/>
      <c r="BR336" s="15"/>
      <c r="BS336" s="15"/>
      <c r="BT336" s="15"/>
      <c r="BU336" s="15"/>
      <c r="BV336" s="15"/>
      <c r="BW336" s="15"/>
      <c r="BX336" s="15"/>
      <c r="BY336" s="15"/>
      <c r="BZ336" s="15"/>
      <c r="CA336" s="15"/>
      <c r="CB336" s="15"/>
      <c r="CC336" s="15"/>
      <c r="CD336" s="15"/>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f t="shared" si="60"/>
        <v>0</v>
      </c>
      <c r="DE336" s="1"/>
      <c r="DF336" s="1"/>
      <c r="DG336" s="1"/>
      <c r="DH336" s="1"/>
      <c r="DI336" s="1"/>
      <c r="DJ336" s="1"/>
      <c r="DK336" s="1"/>
      <c r="DL336" s="1"/>
      <c r="DM336" s="1"/>
      <c r="DN336" s="1"/>
      <c r="DO336" s="1"/>
      <c r="DP336" s="1"/>
      <c r="DQ336" s="1"/>
    </row>
    <row r="337" spans="1:121" x14ac:dyDescent="0.2">
      <c r="A337" s="855"/>
      <c r="B337" s="775"/>
      <c r="C337" s="833"/>
      <c r="D337" s="1" t="s">
        <v>1772</v>
      </c>
      <c r="E337" s="1"/>
      <c r="F337" s="1"/>
      <c r="G337" s="775"/>
      <c r="H337" s="1"/>
      <c r="I337" s="1"/>
      <c r="J337" s="1"/>
      <c r="K337" s="1"/>
      <c r="L337" s="116"/>
      <c r="M337" s="116"/>
      <c r="N337" s="116"/>
      <c r="O337" s="116"/>
      <c r="P337" s="375"/>
      <c r="Q337" s="116"/>
      <c r="R337" s="116"/>
      <c r="S337" s="116"/>
      <c r="T337" s="116"/>
      <c r="U337" s="116"/>
      <c r="V337" s="116"/>
      <c r="W337" s="116"/>
      <c r="X337" s="116"/>
      <c r="Y337" s="116"/>
      <c r="Z337" s="116"/>
      <c r="AA337" s="116"/>
      <c r="AB337" s="116"/>
      <c r="AC337" s="116"/>
      <c r="AD337" s="116"/>
      <c r="AE337" s="116"/>
      <c r="AF337" s="116"/>
      <c r="AG337" s="116"/>
      <c r="AH337" s="1"/>
      <c r="AI337" s="46"/>
      <c r="AJ337" s="46"/>
      <c r="AK337" s="46"/>
      <c r="AL337" s="46"/>
      <c r="AM337" s="46"/>
      <c r="AN337" s="46"/>
      <c r="AO337" s="46"/>
      <c r="AP337" s="46"/>
      <c r="AQ337" s="1"/>
      <c r="AR337" s="15"/>
      <c r="AS337" s="15"/>
      <c r="AT337" s="15"/>
      <c r="AU337" s="15"/>
      <c r="AV337" s="15"/>
      <c r="AW337" s="15"/>
      <c r="AX337" s="15"/>
      <c r="AY337" s="15"/>
      <c r="AZ337" s="15"/>
      <c r="BA337" s="15"/>
      <c r="BB337" s="15"/>
      <c r="BC337" s="15"/>
      <c r="BD337" s="102"/>
      <c r="BE337" s="15"/>
      <c r="BF337" s="15"/>
      <c r="BG337" s="15"/>
      <c r="BH337" s="15"/>
      <c r="BI337" s="15"/>
      <c r="BJ337" s="15"/>
      <c r="BK337" s="15"/>
      <c r="BL337" s="15"/>
      <c r="BM337" s="15"/>
      <c r="BN337" s="15"/>
      <c r="BO337" s="15"/>
      <c r="BP337" s="15"/>
      <c r="BQ337" s="242"/>
      <c r="BR337" s="15"/>
      <c r="BS337" s="15"/>
      <c r="BT337" s="15"/>
      <c r="BU337" s="15"/>
      <c r="BV337" s="15"/>
      <c r="BW337" s="15"/>
      <c r="BX337" s="15"/>
      <c r="BY337" s="15"/>
      <c r="BZ337" s="15"/>
      <c r="CA337" s="15"/>
      <c r="CB337" s="15"/>
      <c r="CC337" s="15"/>
      <c r="CD337" s="15"/>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f t="shared" si="60"/>
        <v>0</v>
      </c>
      <c r="DE337" s="1"/>
      <c r="DF337" s="1"/>
      <c r="DG337" s="1"/>
      <c r="DH337" s="1"/>
      <c r="DI337" s="1"/>
      <c r="DJ337" s="1"/>
      <c r="DK337" s="1"/>
      <c r="DL337" s="1"/>
      <c r="DM337" s="1"/>
      <c r="DN337" s="1"/>
      <c r="DO337" s="1"/>
      <c r="DP337" s="1"/>
      <c r="DQ337" s="1"/>
    </row>
    <row r="338" spans="1:121" x14ac:dyDescent="0.2">
      <c r="A338" s="855"/>
      <c r="B338" s="775"/>
      <c r="C338" s="833"/>
      <c r="D338" s="1" t="s">
        <v>1773</v>
      </c>
      <c r="E338" s="1"/>
      <c r="F338" s="1"/>
      <c r="G338" s="775"/>
      <c r="H338" s="1"/>
      <c r="I338" s="1"/>
      <c r="J338" s="1"/>
      <c r="K338" s="1"/>
      <c r="L338" s="116"/>
      <c r="M338" s="116"/>
      <c r="N338" s="116"/>
      <c r="O338" s="116"/>
      <c r="P338" s="375"/>
      <c r="Q338" s="116"/>
      <c r="R338" s="116"/>
      <c r="S338" s="116"/>
      <c r="T338" s="116"/>
      <c r="U338" s="116"/>
      <c r="V338" s="116"/>
      <c r="W338" s="116"/>
      <c r="X338" s="116"/>
      <c r="Y338" s="116"/>
      <c r="Z338" s="116"/>
      <c r="AA338" s="116"/>
      <c r="AB338" s="116"/>
      <c r="AC338" s="116"/>
      <c r="AD338" s="116"/>
      <c r="AE338" s="116"/>
      <c r="AF338" s="116"/>
      <c r="AG338" s="116"/>
      <c r="AH338" s="1"/>
      <c r="AI338" s="46"/>
      <c r="AJ338" s="46"/>
      <c r="AK338" s="46"/>
      <c r="AL338" s="46"/>
      <c r="AM338" s="46"/>
      <c r="AN338" s="46"/>
      <c r="AO338" s="46"/>
      <c r="AP338" s="46"/>
      <c r="AQ338" s="1"/>
      <c r="AR338" s="15"/>
      <c r="AS338" s="15"/>
      <c r="AT338" s="15"/>
      <c r="AU338" s="15"/>
      <c r="AV338" s="15"/>
      <c r="AW338" s="15"/>
      <c r="AX338" s="15"/>
      <c r="AY338" s="15"/>
      <c r="AZ338" s="15"/>
      <c r="BA338" s="15"/>
      <c r="BB338" s="15"/>
      <c r="BC338" s="15"/>
      <c r="BD338" s="102"/>
      <c r="BE338" s="15"/>
      <c r="BF338" s="15"/>
      <c r="BG338" s="15"/>
      <c r="BH338" s="15"/>
      <c r="BI338" s="15"/>
      <c r="BJ338" s="15"/>
      <c r="BK338" s="15"/>
      <c r="BL338" s="15"/>
      <c r="BM338" s="15"/>
      <c r="BN338" s="15"/>
      <c r="BO338" s="15"/>
      <c r="BP338" s="15"/>
      <c r="BQ338" s="242"/>
      <c r="BR338" s="15"/>
      <c r="BS338" s="15"/>
      <c r="BT338" s="15"/>
      <c r="BU338" s="15"/>
      <c r="BV338" s="15"/>
      <c r="BW338" s="15"/>
      <c r="BX338" s="15"/>
      <c r="BY338" s="15"/>
      <c r="BZ338" s="15"/>
      <c r="CA338" s="15"/>
      <c r="CB338" s="15"/>
      <c r="CC338" s="15"/>
      <c r="CD338" s="15"/>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f t="shared" si="60"/>
        <v>0</v>
      </c>
      <c r="DE338" s="1"/>
      <c r="DF338" s="1"/>
      <c r="DG338" s="1"/>
      <c r="DH338" s="1"/>
      <c r="DI338" s="1"/>
      <c r="DJ338" s="1"/>
      <c r="DK338" s="1"/>
      <c r="DL338" s="1"/>
      <c r="DM338" s="1"/>
      <c r="DN338" s="1"/>
      <c r="DO338" s="1"/>
      <c r="DP338" s="1"/>
      <c r="DQ338" s="1"/>
    </row>
    <row r="339" spans="1:121" x14ac:dyDescent="0.2">
      <c r="A339" s="855"/>
      <c r="B339" s="775"/>
      <c r="C339" s="833"/>
      <c r="D339" s="1" t="s">
        <v>1774</v>
      </c>
      <c r="E339" s="1"/>
      <c r="F339" s="1"/>
      <c r="G339" s="775"/>
      <c r="H339" s="1"/>
      <c r="I339" s="1"/>
      <c r="J339" s="1"/>
      <c r="K339" s="1"/>
      <c r="L339" s="116"/>
      <c r="M339" s="116"/>
      <c r="N339" s="116"/>
      <c r="O339" s="116"/>
      <c r="P339" s="375"/>
      <c r="Q339" s="116"/>
      <c r="R339" s="116"/>
      <c r="S339" s="116"/>
      <c r="T339" s="116"/>
      <c r="U339" s="116"/>
      <c r="V339" s="116"/>
      <c r="W339" s="116"/>
      <c r="X339" s="116"/>
      <c r="Y339" s="116"/>
      <c r="Z339" s="116"/>
      <c r="AA339" s="116"/>
      <c r="AB339" s="116"/>
      <c r="AC339" s="116"/>
      <c r="AD339" s="116"/>
      <c r="AE339" s="116"/>
      <c r="AF339" s="116"/>
      <c r="AG339" s="116"/>
      <c r="AH339" s="1"/>
      <c r="AI339" s="46"/>
      <c r="AJ339" s="46"/>
      <c r="AK339" s="46"/>
      <c r="AL339" s="46"/>
      <c r="AM339" s="46"/>
      <c r="AN339" s="46"/>
      <c r="AO339" s="46"/>
      <c r="AP339" s="46"/>
      <c r="AQ339" s="1"/>
      <c r="AR339" s="15"/>
      <c r="AS339" s="15"/>
      <c r="AT339" s="15"/>
      <c r="AU339" s="15"/>
      <c r="AV339" s="15"/>
      <c r="AW339" s="15"/>
      <c r="AX339" s="15"/>
      <c r="AY339" s="15"/>
      <c r="AZ339" s="15"/>
      <c r="BA339" s="15"/>
      <c r="BB339" s="15"/>
      <c r="BC339" s="15"/>
      <c r="BD339" s="102"/>
      <c r="BE339" s="15"/>
      <c r="BF339" s="15"/>
      <c r="BG339" s="15"/>
      <c r="BH339" s="15"/>
      <c r="BI339" s="15"/>
      <c r="BJ339" s="15"/>
      <c r="BK339" s="15"/>
      <c r="BL339" s="15"/>
      <c r="BM339" s="15"/>
      <c r="BN339" s="15"/>
      <c r="BO339" s="15"/>
      <c r="BP339" s="15"/>
      <c r="BQ339" s="242"/>
      <c r="BR339" s="15"/>
      <c r="BS339" s="15"/>
      <c r="BT339" s="15"/>
      <c r="BU339" s="15"/>
      <c r="BV339" s="15"/>
      <c r="BW339" s="15"/>
      <c r="BX339" s="15"/>
      <c r="BY339" s="15"/>
      <c r="BZ339" s="15"/>
      <c r="CA339" s="15"/>
      <c r="CB339" s="15"/>
      <c r="CC339" s="15"/>
      <c r="CD339" s="15"/>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f t="shared" si="60"/>
        <v>0</v>
      </c>
      <c r="DE339" s="1"/>
      <c r="DF339" s="1"/>
      <c r="DG339" s="1"/>
      <c r="DH339" s="1"/>
      <c r="DI339" s="1"/>
      <c r="DJ339" s="1"/>
      <c r="DK339" s="1"/>
      <c r="DL339" s="1"/>
      <c r="DM339" s="1"/>
      <c r="DN339" s="1"/>
      <c r="DO339" s="1"/>
      <c r="DP339" s="1"/>
      <c r="DQ339" s="1"/>
    </row>
    <row r="340" spans="1:121" x14ac:dyDescent="0.2">
      <c r="A340" s="855"/>
      <c r="B340" s="775"/>
      <c r="C340" s="833"/>
      <c r="D340" s="1" t="s">
        <v>1526</v>
      </c>
      <c r="E340" s="1"/>
      <c r="F340" s="1"/>
      <c r="G340" s="775"/>
      <c r="H340" s="1"/>
      <c r="I340" s="1"/>
      <c r="J340" s="1"/>
      <c r="K340" s="1"/>
      <c r="L340" s="116"/>
      <c r="M340" s="116"/>
      <c r="N340" s="116"/>
      <c r="O340" s="116"/>
      <c r="P340" s="375"/>
      <c r="Q340" s="116"/>
      <c r="R340" s="116"/>
      <c r="S340" s="116"/>
      <c r="T340" s="116"/>
      <c r="U340" s="116"/>
      <c r="V340" s="116"/>
      <c r="W340" s="116"/>
      <c r="X340" s="116"/>
      <c r="Y340" s="116"/>
      <c r="Z340" s="116"/>
      <c r="AA340" s="116"/>
      <c r="AB340" s="116"/>
      <c r="AC340" s="116"/>
      <c r="AD340" s="116"/>
      <c r="AE340" s="116"/>
      <c r="AF340" s="116"/>
      <c r="AG340" s="116"/>
      <c r="AH340" s="1"/>
      <c r="AI340" s="46"/>
      <c r="AJ340" s="46"/>
      <c r="AK340" s="46"/>
      <c r="AL340" s="46"/>
      <c r="AM340" s="46"/>
      <c r="AN340" s="46"/>
      <c r="AO340" s="46"/>
      <c r="AP340" s="46"/>
      <c r="AQ340" s="1"/>
      <c r="AR340" s="15"/>
      <c r="AS340" s="15"/>
      <c r="AT340" s="15"/>
      <c r="AU340" s="15"/>
      <c r="AV340" s="15"/>
      <c r="AW340" s="15"/>
      <c r="AX340" s="15"/>
      <c r="AY340" s="15"/>
      <c r="AZ340" s="15"/>
      <c r="BA340" s="15"/>
      <c r="BB340" s="15"/>
      <c r="BC340" s="15"/>
      <c r="BD340" s="102"/>
      <c r="BE340" s="15"/>
      <c r="BF340" s="15"/>
      <c r="BG340" s="15"/>
      <c r="BH340" s="15"/>
      <c r="BI340" s="15"/>
      <c r="BJ340" s="15"/>
      <c r="BK340" s="15"/>
      <c r="BL340" s="15"/>
      <c r="BM340" s="15"/>
      <c r="BN340" s="15"/>
      <c r="BO340" s="15"/>
      <c r="BP340" s="15"/>
      <c r="BQ340" s="242"/>
      <c r="BR340" s="15"/>
      <c r="BS340" s="15"/>
      <c r="BT340" s="15"/>
      <c r="BU340" s="15"/>
      <c r="BV340" s="15"/>
      <c r="BW340" s="15"/>
      <c r="BX340" s="15"/>
      <c r="BY340" s="15"/>
      <c r="BZ340" s="15"/>
      <c r="CA340" s="15"/>
      <c r="CB340" s="15"/>
      <c r="CC340" s="15"/>
      <c r="CD340" s="15"/>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f t="shared" si="60"/>
        <v>0</v>
      </c>
      <c r="DE340" s="1"/>
      <c r="DF340" s="1"/>
      <c r="DG340" s="1"/>
      <c r="DH340" s="1"/>
      <c r="DI340" s="1"/>
      <c r="DJ340" s="1"/>
      <c r="DK340" s="1"/>
      <c r="DL340" s="1"/>
      <c r="DM340" s="1"/>
      <c r="DN340" s="1"/>
      <c r="DO340" s="1"/>
      <c r="DP340" s="1"/>
      <c r="DQ340" s="1"/>
    </row>
    <row r="341" spans="1:121" x14ac:dyDescent="0.2">
      <c r="A341" s="855"/>
      <c r="B341" s="775"/>
      <c r="C341" s="833"/>
      <c r="D341" s="1" t="s">
        <v>1775</v>
      </c>
      <c r="E341" s="1"/>
      <c r="F341" s="1"/>
      <c r="G341" s="775"/>
      <c r="H341" s="1"/>
      <c r="I341" s="1"/>
      <c r="J341" s="1"/>
      <c r="K341" s="1"/>
      <c r="L341" s="116"/>
      <c r="M341" s="116"/>
      <c r="N341" s="116"/>
      <c r="O341" s="116"/>
      <c r="P341" s="375"/>
      <c r="Q341" s="116"/>
      <c r="R341" s="116"/>
      <c r="S341" s="116"/>
      <c r="T341" s="116"/>
      <c r="U341" s="116"/>
      <c r="V341" s="116"/>
      <c r="W341" s="116"/>
      <c r="X341" s="116"/>
      <c r="Y341" s="116"/>
      <c r="Z341" s="116"/>
      <c r="AA341" s="116"/>
      <c r="AB341" s="116"/>
      <c r="AC341" s="116"/>
      <c r="AD341" s="116"/>
      <c r="AE341" s="116"/>
      <c r="AF341" s="116"/>
      <c r="AG341" s="116"/>
      <c r="AH341" s="1"/>
      <c r="AI341" s="46"/>
      <c r="AJ341" s="46"/>
      <c r="AK341" s="46"/>
      <c r="AL341" s="46"/>
      <c r="AM341" s="46"/>
      <c r="AN341" s="46"/>
      <c r="AO341" s="46"/>
      <c r="AP341" s="46"/>
      <c r="AQ341" s="1"/>
      <c r="AR341" s="15"/>
      <c r="AS341" s="15"/>
      <c r="AT341" s="15"/>
      <c r="AU341" s="15"/>
      <c r="AV341" s="15"/>
      <c r="AW341" s="15"/>
      <c r="AX341" s="15"/>
      <c r="AY341" s="15"/>
      <c r="AZ341" s="15"/>
      <c r="BA341" s="15"/>
      <c r="BB341" s="15"/>
      <c r="BC341" s="15"/>
      <c r="BD341" s="102"/>
      <c r="BE341" s="15"/>
      <c r="BF341" s="15"/>
      <c r="BG341" s="15"/>
      <c r="BH341" s="15"/>
      <c r="BI341" s="15"/>
      <c r="BJ341" s="15"/>
      <c r="BK341" s="15"/>
      <c r="BL341" s="15"/>
      <c r="BM341" s="15"/>
      <c r="BN341" s="15"/>
      <c r="BO341" s="15"/>
      <c r="BP341" s="15"/>
      <c r="BQ341" s="242"/>
      <c r="BR341" s="15"/>
      <c r="BS341" s="15"/>
      <c r="BT341" s="15"/>
      <c r="BU341" s="15"/>
      <c r="BV341" s="15"/>
      <c r="BW341" s="15"/>
      <c r="BX341" s="15"/>
      <c r="BY341" s="15"/>
      <c r="BZ341" s="15"/>
      <c r="CA341" s="15"/>
      <c r="CB341" s="15"/>
      <c r="CC341" s="15"/>
      <c r="CD341" s="15"/>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f t="shared" si="60"/>
        <v>0</v>
      </c>
      <c r="DE341" s="1"/>
      <c r="DF341" s="1"/>
      <c r="DG341" s="1"/>
      <c r="DH341" s="1"/>
      <c r="DI341" s="1"/>
      <c r="DJ341" s="1"/>
      <c r="DK341" s="1"/>
      <c r="DL341" s="1"/>
      <c r="DM341" s="1"/>
      <c r="DN341" s="1"/>
      <c r="DO341" s="1"/>
      <c r="DP341" s="1"/>
      <c r="DQ341" s="1"/>
    </row>
    <row r="342" spans="1:121" x14ac:dyDescent="0.2">
      <c r="A342" s="855"/>
      <c r="B342" s="775"/>
      <c r="C342" s="833"/>
      <c r="D342" s="1" t="s">
        <v>1776</v>
      </c>
      <c r="E342" s="1"/>
      <c r="F342" s="1"/>
      <c r="G342" s="775"/>
      <c r="H342" s="1"/>
      <c r="I342" s="1"/>
      <c r="J342" s="1"/>
      <c r="K342" s="1"/>
      <c r="L342" s="116"/>
      <c r="M342" s="116"/>
      <c r="N342" s="116"/>
      <c r="O342" s="116"/>
      <c r="P342" s="375"/>
      <c r="Q342" s="116"/>
      <c r="R342" s="116"/>
      <c r="S342" s="116"/>
      <c r="T342" s="116"/>
      <c r="U342" s="116"/>
      <c r="V342" s="116"/>
      <c r="W342" s="116"/>
      <c r="X342" s="116"/>
      <c r="Y342" s="116"/>
      <c r="Z342" s="116"/>
      <c r="AA342" s="116"/>
      <c r="AB342" s="116"/>
      <c r="AC342" s="116"/>
      <c r="AD342" s="116"/>
      <c r="AE342" s="116"/>
      <c r="AF342" s="116"/>
      <c r="AG342" s="116"/>
      <c r="AH342" s="1"/>
      <c r="AI342" s="46"/>
      <c r="AJ342" s="46"/>
      <c r="AK342" s="46"/>
      <c r="AL342" s="46"/>
      <c r="AM342" s="46"/>
      <c r="AN342" s="46"/>
      <c r="AO342" s="46"/>
      <c r="AP342" s="46"/>
      <c r="AQ342" s="1"/>
      <c r="AR342" s="15"/>
      <c r="AS342" s="15"/>
      <c r="AT342" s="15"/>
      <c r="AU342" s="15"/>
      <c r="AV342" s="15"/>
      <c r="AW342" s="15"/>
      <c r="AX342" s="15"/>
      <c r="AY342" s="15"/>
      <c r="AZ342" s="15"/>
      <c r="BA342" s="15"/>
      <c r="BB342" s="15"/>
      <c r="BC342" s="15"/>
      <c r="BD342" s="102"/>
      <c r="BE342" s="15"/>
      <c r="BF342" s="15"/>
      <c r="BG342" s="15"/>
      <c r="BH342" s="15"/>
      <c r="BI342" s="15"/>
      <c r="BJ342" s="15"/>
      <c r="BK342" s="15"/>
      <c r="BL342" s="15"/>
      <c r="BM342" s="15"/>
      <c r="BN342" s="15"/>
      <c r="BO342" s="15"/>
      <c r="BP342" s="15"/>
      <c r="BQ342" s="242"/>
      <c r="BR342" s="15"/>
      <c r="BS342" s="15"/>
      <c r="BT342" s="15"/>
      <c r="BU342" s="15"/>
      <c r="BV342" s="15"/>
      <c r="BW342" s="15"/>
      <c r="BX342" s="15"/>
      <c r="BY342" s="15"/>
      <c r="BZ342" s="15"/>
      <c r="CA342" s="15"/>
      <c r="CB342" s="15"/>
      <c r="CC342" s="15"/>
      <c r="CD342" s="15"/>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f t="shared" si="60"/>
        <v>0</v>
      </c>
      <c r="DE342" s="1"/>
      <c r="DF342" s="1"/>
      <c r="DG342" s="1"/>
      <c r="DH342" s="1"/>
      <c r="DI342" s="1"/>
      <c r="DJ342" s="1"/>
      <c r="DK342" s="1"/>
      <c r="DL342" s="1"/>
      <c r="DM342" s="1"/>
      <c r="DN342" s="1"/>
      <c r="DO342" s="1"/>
      <c r="DP342" s="1"/>
      <c r="DQ342" s="1"/>
    </row>
    <row r="343" spans="1:121" x14ac:dyDescent="0.2">
      <c r="A343" s="855"/>
      <c r="B343" s="775"/>
      <c r="C343" s="833"/>
      <c r="D343" s="1" t="s">
        <v>1777</v>
      </c>
      <c r="E343" s="1"/>
      <c r="F343" s="1"/>
      <c r="G343" s="775"/>
      <c r="H343" s="1"/>
      <c r="I343" s="1"/>
      <c r="J343" s="1"/>
      <c r="K343" s="1"/>
      <c r="L343" s="116"/>
      <c r="M343" s="116"/>
      <c r="N343" s="116"/>
      <c r="O343" s="116"/>
      <c r="P343" s="375"/>
      <c r="Q343" s="116"/>
      <c r="R343" s="116"/>
      <c r="S343" s="116"/>
      <c r="T343" s="116"/>
      <c r="U343" s="116"/>
      <c r="V343" s="116"/>
      <c r="W343" s="116"/>
      <c r="X343" s="116"/>
      <c r="Y343" s="116"/>
      <c r="Z343" s="116"/>
      <c r="AA343" s="116"/>
      <c r="AB343" s="116"/>
      <c r="AC343" s="116"/>
      <c r="AD343" s="116"/>
      <c r="AE343" s="116"/>
      <c r="AF343" s="116"/>
      <c r="AG343" s="116"/>
      <c r="AH343" s="1"/>
      <c r="AI343" s="46"/>
      <c r="AJ343" s="46"/>
      <c r="AK343" s="46"/>
      <c r="AL343" s="46"/>
      <c r="AM343" s="46"/>
      <c r="AN343" s="46"/>
      <c r="AO343" s="46"/>
      <c r="AP343" s="46"/>
      <c r="AQ343" s="1"/>
      <c r="AR343" s="15"/>
      <c r="AS343" s="15"/>
      <c r="AT343" s="15"/>
      <c r="AU343" s="15"/>
      <c r="AV343" s="15"/>
      <c r="AW343" s="15"/>
      <c r="AX343" s="15"/>
      <c r="AY343" s="15"/>
      <c r="AZ343" s="15"/>
      <c r="BA343" s="15"/>
      <c r="BB343" s="15"/>
      <c r="BC343" s="15"/>
      <c r="BD343" s="102"/>
      <c r="BE343" s="15"/>
      <c r="BF343" s="15"/>
      <c r="BG343" s="15"/>
      <c r="BH343" s="15"/>
      <c r="BI343" s="15"/>
      <c r="BJ343" s="15"/>
      <c r="BK343" s="15"/>
      <c r="BL343" s="15"/>
      <c r="BM343" s="15"/>
      <c r="BN343" s="15"/>
      <c r="BO343" s="15"/>
      <c r="BP343" s="15"/>
      <c r="BQ343" s="242"/>
      <c r="BR343" s="15"/>
      <c r="BS343" s="15"/>
      <c r="BT343" s="15"/>
      <c r="BU343" s="15"/>
      <c r="BV343" s="15"/>
      <c r="BW343" s="15"/>
      <c r="BX343" s="15"/>
      <c r="BY343" s="15"/>
      <c r="BZ343" s="15"/>
      <c r="CA343" s="15"/>
      <c r="CB343" s="15"/>
      <c r="CC343" s="15"/>
      <c r="CD343" s="15"/>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f t="shared" si="60"/>
        <v>0</v>
      </c>
      <c r="DE343" s="1"/>
      <c r="DF343" s="1"/>
      <c r="DG343" s="1"/>
      <c r="DH343" s="1"/>
      <c r="DI343" s="1"/>
      <c r="DJ343" s="1"/>
      <c r="DK343" s="1"/>
      <c r="DL343" s="1"/>
      <c r="DM343" s="1"/>
      <c r="DN343" s="1"/>
      <c r="DO343" s="1"/>
      <c r="DP343" s="1"/>
      <c r="DQ343" s="1"/>
    </row>
    <row r="344" spans="1:121" x14ac:dyDescent="0.2">
      <c r="A344" s="855"/>
      <c r="B344" s="775"/>
      <c r="C344" s="833"/>
      <c r="D344" s="1" t="s">
        <v>1553</v>
      </c>
      <c r="E344" s="1"/>
      <c r="F344" s="1"/>
      <c r="G344" s="775"/>
      <c r="H344" s="1"/>
      <c r="I344" s="1"/>
      <c r="J344" s="1"/>
      <c r="K344" s="1"/>
      <c r="L344" s="116"/>
      <c r="M344" s="116"/>
      <c r="N344" s="116"/>
      <c r="O344" s="116"/>
      <c r="P344" s="375"/>
      <c r="Q344" s="116"/>
      <c r="R344" s="116"/>
      <c r="S344" s="116"/>
      <c r="T344" s="116"/>
      <c r="U344" s="116"/>
      <c r="V344" s="116"/>
      <c r="W344" s="116"/>
      <c r="X344" s="116"/>
      <c r="Y344" s="116"/>
      <c r="Z344" s="116"/>
      <c r="AA344" s="116"/>
      <c r="AB344" s="116"/>
      <c r="AC344" s="116"/>
      <c r="AD344" s="116"/>
      <c r="AE344" s="116"/>
      <c r="AF344" s="116"/>
      <c r="AG344" s="116"/>
      <c r="AH344" s="1"/>
      <c r="AI344" s="46"/>
      <c r="AJ344" s="46"/>
      <c r="AK344" s="46"/>
      <c r="AL344" s="46"/>
      <c r="AM344" s="46"/>
      <c r="AN344" s="46"/>
      <c r="AO344" s="46"/>
      <c r="AP344" s="46"/>
      <c r="AQ344" s="1"/>
      <c r="AR344" s="15"/>
      <c r="AS344" s="15"/>
      <c r="AT344" s="15"/>
      <c r="AU344" s="15"/>
      <c r="AV344" s="15"/>
      <c r="AW344" s="15"/>
      <c r="AX344" s="15"/>
      <c r="AY344" s="15"/>
      <c r="AZ344" s="15"/>
      <c r="BA344" s="15"/>
      <c r="BB344" s="15"/>
      <c r="BC344" s="15"/>
      <c r="BD344" s="102"/>
      <c r="BE344" s="15"/>
      <c r="BF344" s="15"/>
      <c r="BG344" s="15"/>
      <c r="BH344" s="15"/>
      <c r="BI344" s="15"/>
      <c r="BJ344" s="15"/>
      <c r="BK344" s="15"/>
      <c r="BL344" s="15"/>
      <c r="BM344" s="15"/>
      <c r="BN344" s="15"/>
      <c r="BO344" s="15"/>
      <c r="BP344" s="15"/>
      <c r="BQ344" s="242"/>
      <c r="BR344" s="15"/>
      <c r="BS344" s="15"/>
      <c r="BT344" s="15"/>
      <c r="BU344" s="15"/>
      <c r="BV344" s="15"/>
      <c r="BW344" s="15"/>
      <c r="BX344" s="15"/>
      <c r="BY344" s="15"/>
      <c r="BZ344" s="15"/>
      <c r="CA344" s="15"/>
      <c r="CB344" s="15"/>
      <c r="CC344" s="15"/>
      <c r="CD344" s="15"/>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f t="shared" si="60"/>
        <v>0</v>
      </c>
      <c r="DE344" s="1"/>
      <c r="DF344" s="1"/>
      <c r="DG344" s="1"/>
      <c r="DH344" s="1"/>
      <c r="DI344" s="1"/>
      <c r="DJ344" s="1"/>
      <c r="DK344" s="1"/>
      <c r="DL344" s="1"/>
      <c r="DM344" s="1"/>
      <c r="DN344" s="1"/>
      <c r="DO344" s="1"/>
      <c r="DP344" s="1"/>
      <c r="DQ344" s="1"/>
    </row>
    <row r="345" spans="1:121" x14ac:dyDescent="0.2">
      <c r="A345" s="855"/>
      <c r="B345" s="775"/>
      <c r="C345" s="833"/>
      <c r="D345" s="1" t="s">
        <v>1778</v>
      </c>
      <c r="E345" s="1"/>
      <c r="F345" s="1"/>
      <c r="G345" s="775"/>
      <c r="H345" s="1"/>
      <c r="I345" s="1"/>
      <c r="J345" s="1"/>
      <c r="K345" s="1"/>
      <c r="L345" s="116"/>
      <c r="M345" s="116"/>
      <c r="N345" s="116"/>
      <c r="O345" s="116"/>
      <c r="P345" s="375"/>
      <c r="Q345" s="116"/>
      <c r="R345" s="116"/>
      <c r="S345" s="116"/>
      <c r="T345" s="116"/>
      <c r="U345" s="116"/>
      <c r="V345" s="116"/>
      <c r="W345" s="116"/>
      <c r="X345" s="116"/>
      <c r="Y345" s="116"/>
      <c r="Z345" s="116"/>
      <c r="AA345" s="116"/>
      <c r="AB345" s="116"/>
      <c r="AC345" s="116"/>
      <c r="AD345" s="116"/>
      <c r="AE345" s="116"/>
      <c r="AF345" s="116"/>
      <c r="AG345" s="116"/>
      <c r="AH345" s="1"/>
      <c r="AI345" s="46"/>
      <c r="AJ345" s="46"/>
      <c r="AK345" s="46"/>
      <c r="AL345" s="46"/>
      <c r="AM345" s="46"/>
      <c r="AN345" s="46"/>
      <c r="AO345" s="46"/>
      <c r="AP345" s="46"/>
      <c r="AQ345" s="1"/>
      <c r="AR345" s="15"/>
      <c r="AS345" s="15"/>
      <c r="AT345" s="15"/>
      <c r="AU345" s="15"/>
      <c r="AV345" s="15"/>
      <c r="AW345" s="15"/>
      <c r="AX345" s="15"/>
      <c r="AY345" s="15"/>
      <c r="AZ345" s="15"/>
      <c r="BA345" s="15"/>
      <c r="BB345" s="15"/>
      <c r="BC345" s="15"/>
      <c r="BD345" s="102"/>
      <c r="BE345" s="15"/>
      <c r="BF345" s="15"/>
      <c r="BG345" s="15"/>
      <c r="BH345" s="15"/>
      <c r="BI345" s="15"/>
      <c r="BJ345" s="15"/>
      <c r="BK345" s="15"/>
      <c r="BL345" s="15"/>
      <c r="BM345" s="15"/>
      <c r="BN345" s="15"/>
      <c r="BO345" s="15"/>
      <c r="BP345" s="15"/>
      <c r="BQ345" s="242"/>
      <c r="BR345" s="15"/>
      <c r="BS345" s="15"/>
      <c r="BT345" s="15"/>
      <c r="BU345" s="15"/>
      <c r="BV345" s="15"/>
      <c r="BW345" s="15"/>
      <c r="BX345" s="15"/>
      <c r="BY345" s="15"/>
      <c r="BZ345" s="15"/>
      <c r="CA345" s="15"/>
      <c r="CB345" s="15"/>
      <c r="CC345" s="15"/>
      <c r="CD345" s="15"/>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f t="shared" si="60"/>
        <v>0</v>
      </c>
      <c r="DE345" s="1"/>
      <c r="DF345" s="1"/>
      <c r="DG345" s="1"/>
      <c r="DH345" s="1"/>
      <c r="DI345" s="1"/>
      <c r="DJ345" s="1"/>
      <c r="DK345" s="1"/>
      <c r="DL345" s="1"/>
      <c r="DM345" s="1"/>
      <c r="DN345" s="1"/>
      <c r="DO345" s="1"/>
      <c r="DP345" s="1"/>
      <c r="DQ345" s="1"/>
    </row>
    <row r="346" spans="1:121" x14ac:dyDescent="0.2">
      <c r="A346" s="855"/>
      <c r="B346" s="775"/>
      <c r="C346" s="833"/>
      <c r="D346" s="1" t="s">
        <v>1779</v>
      </c>
      <c r="E346" s="1"/>
      <c r="F346" s="1"/>
      <c r="G346" s="775"/>
      <c r="H346" s="1"/>
      <c r="I346" s="1"/>
      <c r="J346" s="1"/>
      <c r="K346" s="1"/>
      <c r="L346" s="116"/>
      <c r="M346" s="116"/>
      <c r="N346" s="116"/>
      <c r="O346" s="116"/>
      <c r="P346" s="375"/>
      <c r="Q346" s="116"/>
      <c r="R346" s="116"/>
      <c r="S346" s="116"/>
      <c r="T346" s="116"/>
      <c r="U346" s="116"/>
      <c r="V346" s="116"/>
      <c r="W346" s="116"/>
      <c r="X346" s="116"/>
      <c r="Y346" s="116"/>
      <c r="Z346" s="116"/>
      <c r="AA346" s="116"/>
      <c r="AB346" s="116"/>
      <c r="AC346" s="116"/>
      <c r="AD346" s="116"/>
      <c r="AE346" s="116"/>
      <c r="AF346" s="116"/>
      <c r="AG346" s="116"/>
      <c r="AH346" s="1"/>
      <c r="AI346" s="46"/>
      <c r="AJ346" s="46"/>
      <c r="AK346" s="46"/>
      <c r="AL346" s="46"/>
      <c r="AM346" s="46"/>
      <c r="AN346" s="46"/>
      <c r="AO346" s="46"/>
      <c r="AP346" s="46"/>
      <c r="AQ346" s="1"/>
      <c r="AR346" s="15"/>
      <c r="AS346" s="15"/>
      <c r="AT346" s="15"/>
      <c r="AU346" s="15"/>
      <c r="AV346" s="15"/>
      <c r="AW346" s="15"/>
      <c r="AX346" s="15"/>
      <c r="AY346" s="15"/>
      <c r="AZ346" s="15"/>
      <c r="BA346" s="15"/>
      <c r="BB346" s="15"/>
      <c r="BC346" s="15"/>
      <c r="BD346" s="102"/>
      <c r="BE346" s="15"/>
      <c r="BF346" s="15"/>
      <c r="BG346" s="15"/>
      <c r="BH346" s="15"/>
      <c r="BI346" s="15"/>
      <c r="BJ346" s="15"/>
      <c r="BK346" s="15"/>
      <c r="BL346" s="15"/>
      <c r="BM346" s="15"/>
      <c r="BN346" s="15"/>
      <c r="BO346" s="15"/>
      <c r="BP346" s="15"/>
      <c r="BQ346" s="242"/>
      <c r="BR346" s="15"/>
      <c r="BS346" s="15"/>
      <c r="BT346" s="15"/>
      <c r="BU346" s="15"/>
      <c r="BV346" s="15"/>
      <c r="BW346" s="15"/>
      <c r="BX346" s="15"/>
      <c r="BY346" s="15"/>
      <c r="BZ346" s="15"/>
      <c r="CA346" s="15"/>
      <c r="CB346" s="15"/>
      <c r="CC346" s="15"/>
      <c r="CD346" s="15"/>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f t="shared" si="60"/>
        <v>0</v>
      </c>
      <c r="DE346" s="1"/>
      <c r="DF346" s="1"/>
      <c r="DG346" s="1"/>
      <c r="DH346" s="1"/>
      <c r="DI346" s="1"/>
      <c r="DJ346" s="1"/>
      <c r="DK346" s="1"/>
      <c r="DL346" s="1"/>
      <c r="DM346" s="1"/>
      <c r="DN346" s="1"/>
      <c r="DO346" s="1"/>
      <c r="DP346" s="1"/>
      <c r="DQ346" s="1"/>
    </row>
    <row r="347" spans="1:121" x14ac:dyDescent="0.2">
      <c r="A347" s="855"/>
      <c r="B347" s="775"/>
      <c r="C347" s="833"/>
      <c r="D347" s="1" t="s">
        <v>1780</v>
      </c>
      <c r="E347" s="1"/>
      <c r="F347" s="1"/>
      <c r="G347" s="775"/>
      <c r="H347" s="1"/>
      <c r="I347" s="1"/>
      <c r="J347" s="1"/>
      <c r="K347" s="1"/>
      <c r="L347" s="116"/>
      <c r="M347" s="116"/>
      <c r="N347" s="116"/>
      <c r="O347" s="116"/>
      <c r="P347" s="375"/>
      <c r="Q347" s="116"/>
      <c r="R347" s="116"/>
      <c r="S347" s="116"/>
      <c r="T347" s="116"/>
      <c r="U347" s="116"/>
      <c r="V347" s="116"/>
      <c r="W347" s="116"/>
      <c r="X347" s="116"/>
      <c r="Y347" s="116"/>
      <c r="Z347" s="116"/>
      <c r="AA347" s="116"/>
      <c r="AB347" s="116"/>
      <c r="AC347" s="116"/>
      <c r="AD347" s="116"/>
      <c r="AE347" s="116"/>
      <c r="AF347" s="116"/>
      <c r="AG347" s="116"/>
      <c r="AH347" s="1"/>
      <c r="AI347" s="46"/>
      <c r="AJ347" s="46"/>
      <c r="AK347" s="46"/>
      <c r="AL347" s="46"/>
      <c r="AM347" s="46"/>
      <c r="AN347" s="46"/>
      <c r="AO347" s="46"/>
      <c r="AP347" s="46"/>
      <c r="AQ347" s="1"/>
      <c r="AR347" s="15"/>
      <c r="AS347" s="15"/>
      <c r="AT347" s="15"/>
      <c r="AU347" s="15"/>
      <c r="AV347" s="15"/>
      <c r="AW347" s="15"/>
      <c r="AX347" s="15"/>
      <c r="AY347" s="15"/>
      <c r="AZ347" s="15"/>
      <c r="BA347" s="15"/>
      <c r="BB347" s="15"/>
      <c r="BC347" s="15"/>
      <c r="BD347" s="102"/>
      <c r="BE347" s="15"/>
      <c r="BF347" s="15"/>
      <c r="BG347" s="15"/>
      <c r="BH347" s="15"/>
      <c r="BI347" s="15"/>
      <c r="BJ347" s="15"/>
      <c r="BK347" s="15"/>
      <c r="BL347" s="15"/>
      <c r="BM347" s="15"/>
      <c r="BN347" s="15"/>
      <c r="BO347" s="15"/>
      <c r="BP347" s="15"/>
      <c r="BQ347" s="242"/>
      <c r="BR347" s="15"/>
      <c r="BS347" s="15"/>
      <c r="BT347" s="15"/>
      <c r="BU347" s="15"/>
      <c r="BV347" s="15"/>
      <c r="BW347" s="15"/>
      <c r="BX347" s="15"/>
      <c r="BY347" s="15"/>
      <c r="BZ347" s="15"/>
      <c r="CA347" s="15"/>
      <c r="CB347" s="15"/>
      <c r="CC347" s="15"/>
      <c r="CD347" s="15"/>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f t="shared" si="60"/>
        <v>0</v>
      </c>
      <c r="DE347" s="1"/>
      <c r="DF347" s="1"/>
      <c r="DG347" s="1"/>
      <c r="DH347" s="1"/>
      <c r="DI347" s="1"/>
      <c r="DJ347" s="1"/>
      <c r="DK347" s="1"/>
      <c r="DL347" s="1"/>
      <c r="DM347" s="1"/>
      <c r="DN347" s="1"/>
      <c r="DO347" s="1"/>
      <c r="DP347" s="1"/>
      <c r="DQ347" s="1"/>
    </row>
    <row r="348" spans="1:121" x14ac:dyDescent="0.2">
      <c r="A348" s="855"/>
      <c r="B348" s="775"/>
      <c r="C348" s="833"/>
      <c r="D348" s="1" t="s">
        <v>1781</v>
      </c>
      <c r="E348" s="1"/>
      <c r="F348" s="1"/>
      <c r="G348" s="775"/>
      <c r="H348" s="1"/>
      <c r="I348" s="1"/>
      <c r="J348" s="1"/>
      <c r="K348" s="1"/>
      <c r="L348" s="116"/>
      <c r="M348" s="116"/>
      <c r="N348" s="116"/>
      <c r="O348" s="116"/>
      <c r="P348" s="375"/>
      <c r="Q348" s="116"/>
      <c r="R348" s="116"/>
      <c r="S348" s="116"/>
      <c r="T348" s="116"/>
      <c r="U348" s="116"/>
      <c r="V348" s="116"/>
      <c r="W348" s="116"/>
      <c r="X348" s="116"/>
      <c r="Y348" s="116"/>
      <c r="Z348" s="116"/>
      <c r="AA348" s="116"/>
      <c r="AB348" s="116"/>
      <c r="AC348" s="116"/>
      <c r="AD348" s="116"/>
      <c r="AE348" s="116"/>
      <c r="AF348" s="116"/>
      <c r="AG348" s="116"/>
      <c r="AH348" s="1"/>
      <c r="AI348" s="46"/>
      <c r="AJ348" s="46"/>
      <c r="AK348" s="46"/>
      <c r="AL348" s="46"/>
      <c r="AM348" s="46"/>
      <c r="AN348" s="46"/>
      <c r="AO348" s="46"/>
      <c r="AP348" s="46"/>
      <c r="AQ348" s="1"/>
      <c r="AR348" s="15"/>
      <c r="AS348" s="15"/>
      <c r="AT348" s="15"/>
      <c r="AU348" s="15"/>
      <c r="AV348" s="15"/>
      <c r="AW348" s="15"/>
      <c r="AX348" s="15"/>
      <c r="AY348" s="15"/>
      <c r="AZ348" s="15"/>
      <c r="BA348" s="15"/>
      <c r="BB348" s="15"/>
      <c r="BC348" s="15"/>
      <c r="BD348" s="102"/>
      <c r="BE348" s="15"/>
      <c r="BF348" s="15"/>
      <c r="BG348" s="15"/>
      <c r="BH348" s="15"/>
      <c r="BI348" s="15"/>
      <c r="BJ348" s="15"/>
      <c r="BK348" s="15"/>
      <c r="BL348" s="15"/>
      <c r="BM348" s="15"/>
      <c r="BN348" s="15"/>
      <c r="BO348" s="15"/>
      <c r="BP348" s="15"/>
      <c r="BQ348" s="242"/>
      <c r="BR348" s="15"/>
      <c r="BS348" s="15"/>
      <c r="BT348" s="15"/>
      <c r="BU348" s="15"/>
      <c r="BV348" s="15"/>
      <c r="BW348" s="15"/>
      <c r="BX348" s="15"/>
      <c r="BY348" s="15"/>
      <c r="BZ348" s="15"/>
      <c r="CA348" s="15"/>
      <c r="CB348" s="15"/>
      <c r="CC348" s="15"/>
      <c r="CD348" s="15"/>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f t="shared" si="60"/>
        <v>0</v>
      </c>
      <c r="DE348" s="1"/>
      <c r="DF348" s="1"/>
      <c r="DG348" s="1"/>
      <c r="DH348" s="1"/>
      <c r="DI348" s="1"/>
      <c r="DJ348" s="1"/>
      <c r="DK348" s="1"/>
      <c r="DL348" s="1"/>
      <c r="DM348" s="1"/>
      <c r="DN348" s="1"/>
      <c r="DO348" s="1"/>
      <c r="DP348" s="1"/>
      <c r="DQ348" s="1"/>
    </row>
    <row r="349" spans="1:121" x14ac:dyDescent="0.2">
      <c r="A349" s="855"/>
      <c r="B349" s="775"/>
      <c r="C349" s="833"/>
      <c r="D349" s="1" t="s">
        <v>1782</v>
      </c>
      <c r="E349" s="1"/>
      <c r="F349" s="1"/>
      <c r="G349" s="775"/>
      <c r="H349" s="1"/>
      <c r="I349" s="1"/>
      <c r="J349" s="1"/>
      <c r="K349" s="1"/>
      <c r="L349" s="116"/>
      <c r="M349" s="116"/>
      <c r="N349" s="116"/>
      <c r="O349" s="116"/>
      <c r="P349" s="375"/>
      <c r="Q349" s="116"/>
      <c r="R349" s="116"/>
      <c r="S349" s="116"/>
      <c r="T349" s="116"/>
      <c r="U349" s="116"/>
      <c r="V349" s="116"/>
      <c r="W349" s="116"/>
      <c r="X349" s="116"/>
      <c r="Y349" s="116"/>
      <c r="Z349" s="116"/>
      <c r="AA349" s="116"/>
      <c r="AB349" s="116"/>
      <c r="AC349" s="116"/>
      <c r="AD349" s="116"/>
      <c r="AE349" s="116"/>
      <c r="AF349" s="116"/>
      <c r="AG349" s="116"/>
      <c r="AH349" s="1"/>
      <c r="AI349" s="46"/>
      <c r="AJ349" s="46"/>
      <c r="AK349" s="46"/>
      <c r="AL349" s="46"/>
      <c r="AM349" s="46"/>
      <c r="AN349" s="46"/>
      <c r="AO349" s="46"/>
      <c r="AP349" s="46"/>
      <c r="AQ349" s="1"/>
      <c r="AR349" s="15"/>
      <c r="AS349" s="15"/>
      <c r="AT349" s="15"/>
      <c r="AU349" s="15"/>
      <c r="AV349" s="15"/>
      <c r="AW349" s="15"/>
      <c r="AX349" s="15"/>
      <c r="AY349" s="15"/>
      <c r="AZ349" s="15"/>
      <c r="BA349" s="15"/>
      <c r="BB349" s="15"/>
      <c r="BC349" s="15"/>
      <c r="BD349" s="102"/>
      <c r="BE349" s="15"/>
      <c r="BF349" s="15"/>
      <c r="BG349" s="15"/>
      <c r="BH349" s="15"/>
      <c r="BI349" s="15"/>
      <c r="BJ349" s="15"/>
      <c r="BK349" s="15"/>
      <c r="BL349" s="15"/>
      <c r="BM349" s="15"/>
      <c r="BN349" s="15"/>
      <c r="BO349" s="15"/>
      <c r="BP349" s="15"/>
      <c r="BQ349" s="242"/>
      <c r="BR349" s="15"/>
      <c r="BS349" s="15"/>
      <c r="BT349" s="15"/>
      <c r="BU349" s="15"/>
      <c r="BV349" s="15"/>
      <c r="BW349" s="15"/>
      <c r="BX349" s="15"/>
      <c r="BY349" s="15"/>
      <c r="BZ349" s="15"/>
      <c r="CA349" s="15"/>
      <c r="CB349" s="15"/>
      <c r="CC349" s="15"/>
      <c r="CD349" s="15"/>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f t="shared" si="60"/>
        <v>0</v>
      </c>
      <c r="DE349" s="1"/>
      <c r="DF349" s="1"/>
      <c r="DG349" s="1"/>
      <c r="DH349" s="1"/>
      <c r="DI349" s="1"/>
      <c r="DJ349" s="1"/>
      <c r="DK349" s="1"/>
      <c r="DL349" s="1"/>
      <c r="DM349" s="1"/>
      <c r="DN349" s="1"/>
      <c r="DO349" s="1"/>
      <c r="DP349" s="1"/>
      <c r="DQ349" s="1"/>
    </row>
    <row r="350" spans="1:121" x14ac:dyDescent="0.2">
      <c r="A350" s="855"/>
      <c r="B350" s="775"/>
      <c r="C350" s="833"/>
      <c r="D350" s="1" t="s">
        <v>1783</v>
      </c>
      <c r="E350" s="1"/>
      <c r="F350" s="1"/>
      <c r="G350" s="775"/>
      <c r="H350" s="1"/>
      <c r="I350" s="1"/>
      <c r="J350" s="1"/>
      <c r="K350" s="1"/>
      <c r="L350" s="116"/>
      <c r="M350" s="116"/>
      <c r="N350" s="116"/>
      <c r="O350" s="116"/>
      <c r="P350" s="375"/>
      <c r="Q350" s="116"/>
      <c r="R350" s="116"/>
      <c r="S350" s="116"/>
      <c r="T350" s="116"/>
      <c r="U350" s="116"/>
      <c r="V350" s="116"/>
      <c r="W350" s="116"/>
      <c r="X350" s="116"/>
      <c r="Y350" s="116"/>
      <c r="Z350" s="116"/>
      <c r="AA350" s="116"/>
      <c r="AB350" s="116"/>
      <c r="AC350" s="116"/>
      <c r="AD350" s="116"/>
      <c r="AE350" s="116"/>
      <c r="AF350" s="116"/>
      <c r="AG350" s="116"/>
      <c r="AH350" s="1"/>
      <c r="AI350" s="46"/>
      <c r="AJ350" s="46"/>
      <c r="AK350" s="46"/>
      <c r="AL350" s="46"/>
      <c r="AM350" s="46"/>
      <c r="AN350" s="46"/>
      <c r="AO350" s="46"/>
      <c r="AP350" s="46"/>
      <c r="AQ350" s="1"/>
      <c r="AR350" s="15"/>
      <c r="AS350" s="15"/>
      <c r="AT350" s="15"/>
      <c r="AU350" s="15"/>
      <c r="AV350" s="15"/>
      <c r="AW350" s="15"/>
      <c r="AX350" s="15"/>
      <c r="AY350" s="15"/>
      <c r="AZ350" s="15"/>
      <c r="BA350" s="15"/>
      <c r="BB350" s="15"/>
      <c r="BC350" s="15"/>
      <c r="BD350" s="102"/>
      <c r="BE350" s="15"/>
      <c r="BF350" s="15"/>
      <c r="BG350" s="15"/>
      <c r="BH350" s="15"/>
      <c r="BI350" s="15"/>
      <c r="BJ350" s="15"/>
      <c r="BK350" s="15"/>
      <c r="BL350" s="15"/>
      <c r="BM350" s="15"/>
      <c r="BN350" s="15"/>
      <c r="BO350" s="15"/>
      <c r="BP350" s="15"/>
      <c r="BQ350" s="242"/>
      <c r="BR350" s="15"/>
      <c r="BS350" s="15"/>
      <c r="BT350" s="15"/>
      <c r="BU350" s="15"/>
      <c r="BV350" s="15"/>
      <c r="BW350" s="15"/>
      <c r="BX350" s="15"/>
      <c r="BY350" s="15"/>
      <c r="BZ350" s="15"/>
      <c r="CA350" s="15"/>
      <c r="CB350" s="15"/>
      <c r="CC350" s="15"/>
      <c r="CD350" s="15"/>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f t="shared" si="60"/>
        <v>0</v>
      </c>
      <c r="DE350" s="1"/>
      <c r="DF350" s="1"/>
      <c r="DG350" s="1"/>
      <c r="DH350" s="1"/>
      <c r="DI350" s="1"/>
      <c r="DJ350" s="1"/>
      <c r="DK350" s="1"/>
      <c r="DL350" s="1"/>
      <c r="DM350" s="1"/>
      <c r="DN350" s="1"/>
      <c r="DO350" s="1"/>
      <c r="DP350" s="1"/>
      <c r="DQ350" s="1"/>
    </row>
    <row r="351" spans="1:121" x14ac:dyDescent="0.2">
      <c r="A351" s="855"/>
      <c r="B351" s="775"/>
      <c r="C351" s="833"/>
      <c r="D351" s="1" t="s">
        <v>1784</v>
      </c>
      <c r="E351" s="1"/>
      <c r="F351" s="1"/>
      <c r="G351" s="775"/>
      <c r="H351" s="1"/>
      <c r="I351" s="1"/>
      <c r="J351" s="1"/>
      <c r="K351" s="1"/>
      <c r="L351" s="116"/>
      <c r="M351" s="116"/>
      <c r="N351" s="116"/>
      <c r="O351" s="116"/>
      <c r="P351" s="375"/>
      <c r="Q351" s="116"/>
      <c r="R351" s="116"/>
      <c r="S351" s="116"/>
      <c r="T351" s="116"/>
      <c r="U351" s="116"/>
      <c r="V351" s="116"/>
      <c r="W351" s="116"/>
      <c r="X351" s="116"/>
      <c r="Y351" s="116"/>
      <c r="Z351" s="116"/>
      <c r="AA351" s="116"/>
      <c r="AB351" s="116"/>
      <c r="AC351" s="116"/>
      <c r="AD351" s="116"/>
      <c r="AE351" s="116"/>
      <c r="AF351" s="116"/>
      <c r="AG351" s="116"/>
      <c r="AH351" s="1"/>
      <c r="AI351" s="46"/>
      <c r="AJ351" s="46"/>
      <c r="AK351" s="46"/>
      <c r="AL351" s="46"/>
      <c r="AM351" s="46"/>
      <c r="AN351" s="46"/>
      <c r="AO351" s="46"/>
      <c r="AP351" s="46"/>
      <c r="AQ351" s="1"/>
      <c r="AR351" s="15"/>
      <c r="AS351" s="15"/>
      <c r="AT351" s="15"/>
      <c r="AU351" s="15"/>
      <c r="AV351" s="15"/>
      <c r="AW351" s="15"/>
      <c r="AX351" s="15"/>
      <c r="AY351" s="15"/>
      <c r="AZ351" s="15"/>
      <c r="BA351" s="15"/>
      <c r="BB351" s="15"/>
      <c r="BC351" s="15"/>
      <c r="BD351" s="102"/>
      <c r="BE351" s="15"/>
      <c r="BF351" s="15"/>
      <c r="BG351" s="15"/>
      <c r="BH351" s="15"/>
      <c r="BI351" s="15"/>
      <c r="BJ351" s="15"/>
      <c r="BK351" s="15"/>
      <c r="BL351" s="15"/>
      <c r="BM351" s="15"/>
      <c r="BN351" s="15"/>
      <c r="BO351" s="15"/>
      <c r="BP351" s="15"/>
      <c r="BQ351" s="242"/>
      <c r="BR351" s="15"/>
      <c r="BS351" s="15"/>
      <c r="BT351" s="15"/>
      <c r="BU351" s="15"/>
      <c r="BV351" s="15"/>
      <c r="BW351" s="15"/>
      <c r="BX351" s="15"/>
      <c r="BY351" s="15"/>
      <c r="BZ351" s="15"/>
      <c r="CA351" s="15"/>
      <c r="CB351" s="15"/>
      <c r="CC351" s="15"/>
      <c r="CD351" s="15"/>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f t="shared" si="60"/>
        <v>0</v>
      </c>
      <c r="DE351" s="1"/>
      <c r="DF351" s="1"/>
      <c r="DG351" s="1"/>
      <c r="DH351" s="1"/>
      <c r="DI351" s="1"/>
      <c r="DJ351" s="1"/>
      <c r="DK351" s="1"/>
      <c r="DL351" s="1"/>
      <c r="DM351" s="1"/>
      <c r="DN351" s="1"/>
      <c r="DO351" s="1"/>
      <c r="DP351" s="1"/>
      <c r="DQ351" s="1"/>
    </row>
    <row r="352" spans="1:121" x14ac:dyDescent="0.2">
      <c r="A352" s="855"/>
      <c r="B352" s="775"/>
      <c r="C352" s="833"/>
      <c r="D352" s="1" t="s">
        <v>1785</v>
      </c>
      <c r="E352" s="1"/>
      <c r="F352" s="1"/>
      <c r="G352" s="775"/>
      <c r="H352" s="1"/>
      <c r="I352" s="1"/>
      <c r="J352" s="1"/>
      <c r="K352" s="1"/>
      <c r="L352" s="116"/>
      <c r="M352" s="116"/>
      <c r="N352" s="116"/>
      <c r="O352" s="116"/>
      <c r="P352" s="375"/>
      <c r="Q352" s="116"/>
      <c r="R352" s="116"/>
      <c r="S352" s="116"/>
      <c r="T352" s="116"/>
      <c r="U352" s="116"/>
      <c r="V352" s="116"/>
      <c r="W352" s="116"/>
      <c r="X352" s="116"/>
      <c r="Y352" s="116"/>
      <c r="Z352" s="116"/>
      <c r="AA352" s="116"/>
      <c r="AB352" s="116"/>
      <c r="AC352" s="116"/>
      <c r="AD352" s="116"/>
      <c r="AE352" s="116"/>
      <c r="AF352" s="116"/>
      <c r="AG352" s="116"/>
      <c r="AH352" s="1"/>
      <c r="AI352" s="46"/>
      <c r="AJ352" s="46"/>
      <c r="AK352" s="46"/>
      <c r="AL352" s="46"/>
      <c r="AM352" s="46"/>
      <c r="AN352" s="46"/>
      <c r="AO352" s="46"/>
      <c r="AP352" s="46"/>
      <c r="AQ352" s="1"/>
      <c r="AR352" s="15"/>
      <c r="AS352" s="15"/>
      <c r="AT352" s="15"/>
      <c r="AU352" s="15"/>
      <c r="AV352" s="15"/>
      <c r="AW352" s="15"/>
      <c r="AX352" s="15"/>
      <c r="AY352" s="15"/>
      <c r="AZ352" s="15"/>
      <c r="BA352" s="15"/>
      <c r="BB352" s="15"/>
      <c r="BC352" s="15"/>
      <c r="BD352" s="102"/>
      <c r="BE352" s="15"/>
      <c r="BF352" s="15"/>
      <c r="BG352" s="15"/>
      <c r="BH352" s="15"/>
      <c r="BI352" s="15"/>
      <c r="BJ352" s="15"/>
      <c r="BK352" s="15"/>
      <c r="BL352" s="15"/>
      <c r="BM352" s="15"/>
      <c r="BN352" s="15"/>
      <c r="BO352" s="15"/>
      <c r="BP352" s="15"/>
      <c r="BQ352" s="242"/>
      <c r="BR352" s="15"/>
      <c r="BS352" s="15"/>
      <c r="BT352" s="15"/>
      <c r="BU352" s="15"/>
      <c r="BV352" s="15"/>
      <c r="BW352" s="15"/>
      <c r="BX352" s="15"/>
      <c r="BY352" s="15"/>
      <c r="BZ352" s="15"/>
      <c r="CA352" s="15"/>
      <c r="CB352" s="15"/>
      <c r="CC352" s="15"/>
      <c r="CD352" s="15"/>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f t="shared" si="60"/>
        <v>0</v>
      </c>
      <c r="DE352" s="1"/>
      <c r="DF352" s="1"/>
      <c r="DG352" s="1"/>
      <c r="DH352" s="1"/>
      <c r="DI352" s="1"/>
      <c r="DJ352" s="1"/>
      <c r="DK352" s="1"/>
      <c r="DL352" s="1"/>
      <c r="DM352" s="1"/>
      <c r="DN352" s="1"/>
      <c r="DO352" s="1"/>
      <c r="DP352" s="1"/>
      <c r="DQ352" s="1"/>
    </row>
    <row r="353" spans="1:121" x14ac:dyDescent="0.2">
      <c r="A353" s="855"/>
      <c r="B353" s="775"/>
      <c r="C353" s="833"/>
      <c r="D353" s="118" t="s">
        <v>1786</v>
      </c>
      <c r="E353" s="118"/>
      <c r="F353" s="1"/>
      <c r="G353" s="775"/>
      <c r="H353" s="1"/>
      <c r="I353" s="1"/>
      <c r="J353" s="1"/>
      <c r="K353" s="1"/>
      <c r="L353" s="116"/>
      <c r="M353" s="116"/>
      <c r="N353" s="116"/>
      <c r="O353" s="116"/>
      <c r="P353" s="375"/>
      <c r="Q353" s="116"/>
      <c r="R353" s="116"/>
      <c r="S353" s="116"/>
      <c r="T353" s="116"/>
      <c r="U353" s="116"/>
      <c r="V353" s="116"/>
      <c r="W353" s="116"/>
      <c r="X353" s="116"/>
      <c r="Y353" s="116"/>
      <c r="Z353" s="116"/>
      <c r="AA353" s="116"/>
      <c r="AB353" s="116"/>
      <c r="AC353" s="116"/>
      <c r="AD353" s="116"/>
      <c r="AE353" s="116"/>
      <c r="AF353" s="116"/>
      <c r="AG353" s="116"/>
      <c r="AH353" s="1"/>
      <c r="AI353" s="46"/>
      <c r="AJ353" s="46"/>
      <c r="AK353" s="46"/>
      <c r="AL353" s="46"/>
      <c r="AM353" s="46"/>
      <c r="AN353" s="46"/>
      <c r="AO353" s="46"/>
      <c r="AP353" s="46"/>
      <c r="AQ353" s="1"/>
      <c r="AR353" s="15"/>
      <c r="AS353" s="15"/>
      <c r="AT353" s="15"/>
      <c r="AU353" s="15"/>
      <c r="AV353" s="15"/>
      <c r="AW353" s="15"/>
      <c r="AX353" s="15"/>
      <c r="AY353" s="15"/>
      <c r="AZ353" s="15"/>
      <c r="BA353" s="15"/>
      <c r="BB353" s="15"/>
      <c r="BC353" s="15"/>
      <c r="BD353" s="102"/>
      <c r="BE353" s="15"/>
      <c r="BF353" s="15"/>
      <c r="BG353" s="15"/>
      <c r="BH353" s="15"/>
      <c r="BI353" s="15"/>
      <c r="BJ353" s="15"/>
      <c r="BK353" s="15"/>
      <c r="BL353" s="15"/>
      <c r="BM353" s="15"/>
      <c r="BN353" s="15"/>
      <c r="BO353" s="15"/>
      <c r="BP353" s="15"/>
      <c r="BQ353" s="242"/>
      <c r="BR353" s="15"/>
      <c r="BS353" s="15"/>
      <c r="BT353" s="15"/>
      <c r="BU353" s="15"/>
      <c r="BV353" s="15"/>
      <c r="BW353" s="15"/>
      <c r="BX353" s="15"/>
      <c r="BY353" s="15"/>
      <c r="BZ353" s="15"/>
      <c r="CA353" s="15"/>
      <c r="CB353" s="15"/>
      <c r="CC353" s="15"/>
      <c r="CD353" s="15"/>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f t="shared" si="60"/>
        <v>0</v>
      </c>
      <c r="DE353" s="1"/>
      <c r="DF353" s="1"/>
      <c r="DG353" s="1"/>
      <c r="DH353" s="1"/>
      <c r="DI353" s="1"/>
      <c r="DJ353" s="1"/>
      <c r="DK353" s="1"/>
      <c r="DL353" s="1"/>
      <c r="DM353" s="1"/>
      <c r="DN353" s="1"/>
      <c r="DO353" s="1"/>
      <c r="DP353" s="1"/>
      <c r="DQ353" s="1"/>
    </row>
    <row r="354" spans="1:121" x14ac:dyDescent="0.2">
      <c r="A354" s="855"/>
      <c r="B354" s="775"/>
      <c r="C354" s="833"/>
      <c r="D354" s="1" t="s">
        <v>1533</v>
      </c>
      <c r="E354" s="1"/>
      <c r="F354" s="1"/>
      <c r="G354" s="775"/>
      <c r="H354" s="1"/>
      <c r="I354" s="1"/>
      <c r="J354" s="1"/>
      <c r="K354" s="1"/>
      <c r="L354" s="116"/>
      <c r="M354" s="116"/>
      <c r="N354" s="116"/>
      <c r="O354" s="116"/>
      <c r="P354" s="375"/>
      <c r="Q354" s="116"/>
      <c r="R354" s="116"/>
      <c r="S354" s="116"/>
      <c r="T354" s="116"/>
      <c r="U354" s="116"/>
      <c r="V354" s="116"/>
      <c r="W354" s="116"/>
      <c r="X354" s="116"/>
      <c r="Y354" s="116"/>
      <c r="Z354" s="116"/>
      <c r="AA354" s="116"/>
      <c r="AB354" s="116"/>
      <c r="AC354" s="116"/>
      <c r="AD354" s="116"/>
      <c r="AE354" s="116"/>
      <c r="AF354" s="116"/>
      <c r="AG354" s="116"/>
      <c r="AH354" s="1"/>
      <c r="AI354" s="46"/>
      <c r="AJ354" s="46"/>
      <c r="AK354" s="46"/>
      <c r="AL354" s="46"/>
      <c r="AM354" s="46"/>
      <c r="AN354" s="46"/>
      <c r="AO354" s="46"/>
      <c r="AP354" s="46"/>
      <c r="AQ354" s="1"/>
      <c r="AR354" s="15"/>
      <c r="AS354" s="15"/>
      <c r="AT354" s="15"/>
      <c r="AU354" s="15"/>
      <c r="AV354" s="15"/>
      <c r="AW354" s="15"/>
      <c r="AX354" s="15"/>
      <c r="AY354" s="15"/>
      <c r="AZ354" s="15"/>
      <c r="BA354" s="15"/>
      <c r="BB354" s="15"/>
      <c r="BC354" s="15"/>
      <c r="BD354" s="102"/>
      <c r="BE354" s="15"/>
      <c r="BF354" s="15"/>
      <c r="BG354" s="15"/>
      <c r="BH354" s="15"/>
      <c r="BI354" s="15"/>
      <c r="BJ354" s="15"/>
      <c r="BK354" s="15"/>
      <c r="BL354" s="15"/>
      <c r="BM354" s="15"/>
      <c r="BN354" s="15"/>
      <c r="BO354" s="15"/>
      <c r="BP354" s="15"/>
      <c r="BQ354" s="242"/>
      <c r="BR354" s="15"/>
      <c r="BS354" s="15"/>
      <c r="BT354" s="15"/>
      <c r="BU354" s="15"/>
      <c r="BV354" s="15"/>
      <c r="BW354" s="15"/>
      <c r="BX354" s="15"/>
      <c r="BY354" s="15"/>
      <c r="BZ354" s="15"/>
      <c r="CA354" s="15"/>
      <c r="CB354" s="15"/>
      <c r="CC354" s="15"/>
      <c r="CD354" s="15"/>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f t="shared" si="60"/>
        <v>0</v>
      </c>
      <c r="DE354" s="1"/>
      <c r="DF354" s="1"/>
      <c r="DG354" s="1"/>
      <c r="DH354" s="1"/>
      <c r="DI354" s="1"/>
      <c r="DJ354" s="1"/>
      <c r="DK354" s="1"/>
      <c r="DL354" s="1"/>
      <c r="DM354" s="1"/>
      <c r="DN354" s="1"/>
      <c r="DO354" s="1"/>
      <c r="DP354" s="1"/>
      <c r="DQ354" s="1"/>
    </row>
    <row r="355" spans="1:121" x14ac:dyDescent="0.2">
      <c r="A355" s="855"/>
      <c r="B355" s="775"/>
      <c r="C355" s="833"/>
      <c r="D355" s="1" t="s">
        <v>1154</v>
      </c>
      <c r="E355" s="1"/>
      <c r="F355" s="1"/>
      <c r="G355" s="775"/>
      <c r="H355" s="1"/>
      <c r="I355" s="1"/>
      <c r="J355" s="1"/>
      <c r="K355" s="1"/>
      <c r="L355" s="116"/>
      <c r="M355" s="116"/>
      <c r="N355" s="116"/>
      <c r="O355" s="116"/>
      <c r="P355" s="375"/>
      <c r="Q355" s="116"/>
      <c r="R355" s="116"/>
      <c r="S355" s="116"/>
      <c r="T355" s="116"/>
      <c r="U355" s="116"/>
      <c r="V355" s="116"/>
      <c r="W355" s="116"/>
      <c r="X355" s="116"/>
      <c r="Y355" s="116"/>
      <c r="Z355" s="116"/>
      <c r="AA355" s="116"/>
      <c r="AB355" s="116"/>
      <c r="AC355" s="116"/>
      <c r="AD355" s="116"/>
      <c r="AE355" s="116"/>
      <c r="AF355" s="116"/>
      <c r="AG355" s="116"/>
      <c r="AH355" s="1"/>
      <c r="AI355" s="46"/>
      <c r="AJ355" s="46"/>
      <c r="AK355" s="46"/>
      <c r="AL355" s="46"/>
      <c r="AM355" s="46"/>
      <c r="AN355" s="46"/>
      <c r="AO355" s="46"/>
      <c r="AP355" s="46"/>
      <c r="AQ355" s="1"/>
      <c r="AR355" s="15"/>
      <c r="AS355" s="15"/>
      <c r="AT355" s="15"/>
      <c r="AU355" s="15"/>
      <c r="AV355" s="15"/>
      <c r="AW355" s="15"/>
      <c r="AX355" s="15"/>
      <c r="AY355" s="15"/>
      <c r="AZ355" s="15"/>
      <c r="BA355" s="15"/>
      <c r="BB355" s="15"/>
      <c r="BC355" s="15"/>
      <c r="BD355" s="102"/>
      <c r="BE355" s="15"/>
      <c r="BF355" s="15"/>
      <c r="BG355" s="15"/>
      <c r="BH355" s="15"/>
      <c r="BI355" s="15"/>
      <c r="BJ355" s="15"/>
      <c r="BK355" s="15"/>
      <c r="BL355" s="15"/>
      <c r="BM355" s="15"/>
      <c r="BN355" s="15"/>
      <c r="BO355" s="15"/>
      <c r="BP355" s="15"/>
      <c r="BQ355" s="242"/>
      <c r="BR355" s="15"/>
      <c r="BS355" s="15"/>
      <c r="BT355" s="15"/>
      <c r="BU355" s="15"/>
      <c r="BV355" s="15"/>
      <c r="BW355" s="15"/>
      <c r="BX355" s="15"/>
      <c r="BY355" s="15"/>
      <c r="BZ355" s="15"/>
      <c r="CA355" s="15"/>
      <c r="CB355" s="15"/>
      <c r="CC355" s="15"/>
      <c r="CD355" s="15"/>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f t="shared" si="60"/>
        <v>0</v>
      </c>
      <c r="DE355" s="1"/>
      <c r="DF355" s="1"/>
      <c r="DG355" s="1"/>
      <c r="DH355" s="1"/>
      <c r="DI355" s="1"/>
      <c r="DJ355" s="1"/>
      <c r="DK355" s="1"/>
      <c r="DL355" s="1"/>
      <c r="DM355" s="1"/>
      <c r="DN355" s="1"/>
      <c r="DO355" s="1"/>
      <c r="DP355" s="1"/>
      <c r="DQ355" s="1"/>
    </row>
    <row r="356" spans="1:121" x14ac:dyDescent="0.2">
      <c r="A356" s="855"/>
      <c r="B356" s="775"/>
      <c r="C356" s="833"/>
      <c r="D356" s="1" t="s">
        <v>1787</v>
      </c>
      <c r="E356" s="1"/>
      <c r="F356" s="1"/>
      <c r="G356" s="775"/>
      <c r="H356" s="1"/>
      <c r="I356" s="1"/>
      <c r="J356" s="1"/>
      <c r="K356" s="1"/>
      <c r="L356" s="116"/>
      <c r="M356" s="116"/>
      <c r="N356" s="116"/>
      <c r="O356" s="116"/>
      <c r="P356" s="375"/>
      <c r="Q356" s="116"/>
      <c r="R356" s="116"/>
      <c r="S356" s="116"/>
      <c r="T356" s="116"/>
      <c r="U356" s="116"/>
      <c r="V356" s="116"/>
      <c r="W356" s="116"/>
      <c r="X356" s="116"/>
      <c r="Y356" s="116"/>
      <c r="Z356" s="116"/>
      <c r="AA356" s="116"/>
      <c r="AB356" s="116"/>
      <c r="AC356" s="116"/>
      <c r="AD356" s="116"/>
      <c r="AE356" s="116"/>
      <c r="AF356" s="116"/>
      <c r="AG356" s="116"/>
      <c r="AH356" s="1"/>
      <c r="AI356" s="46"/>
      <c r="AJ356" s="46"/>
      <c r="AK356" s="46"/>
      <c r="AL356" s="46"/>
      <c r="AM356" s="46"/>
      <c r="AN356" s="46"/>
      <c r="AO356" s="46"/>
      <c r="AP356" s="46"/>
      <c r="AQ356" s="1"/>
      <c r="AR356" s="15"/>
      <c r="AS356" s="15"/>
      <c r="AT356" s="15"/>
      <c r="AU356" s="15"/>
      <c r="AV356" s="15"/>
      <c r="AW356" s="15"/>
      <c r="AX356" s="15"/>
      <c r="AY356" s="15"/>
      <c r="AZ356" s="15"/>
      <c r="BA356" s="15"/>
      <c r="BB356" s="15"/>
      <c r="BC356" s="15"/>
      <c r="BD356" s="102"/>
      <c r="BE356" s="15"/>
      <c r="BF356" s="15"/>
      <c r="BG356" s="15"/>
      <c r="BH356" s="15"/>
      <c r="BI356" s="15"/>
      <c r="BJ356" s="15"/>
      <c r="BK356" s="15"/>
      <c r="BL356" s="15"/>
      <c r="BM356" s="15"/>
      <c r="BN356" s="15"/>
      <c r="BO356" s="15"/>
      <c r="BP356" s="15"/>
      <c r="BQ356" s="242"/>
      <c r="BR356" s="15"/>
      <c r="BS356" s="15"/>
      <c r="BT356" s="15"/>
      <c r="BU356" s="15"/>
      <c r="BV356" s="15"/>
      <c r="BW356" s="15"/>
      <c r="BX356" s="15"/>
      <c r="BY356" s="15"/>
      <c r="BZ356" s="15"/>
      <c r="CA356" s="15"/>
      <c r="CB356" s="15"/>
      <c r="CC356" s="15"/>
      <c r="CD356" s="15"/>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f t="shared" si="60"/>
        <v>0</v>
      </c>
      <c r="DE356" s="1"/>
      <c r="DF356" s="1"/>
      <c r="DG356" s="1"/>
      <c r="DH356" s="1"/>
      <c r="DI356" s="1"/>
      <c r="DJ356" s="1"/>
      <c r="DK356" s="1"/>
      <c r="DL356" s="1"/>
      <c r="DM356" s="1"/>
      <c r="DN356" s="1"/>
      <c r="DO356" s="1"/>
      <c r="DP356" s="1"/>
      <c r="DQ356" s="1"/>
    </row>
    <row r="357" spans="1:121" x14ac:dyDescent="0.2">
      <c r="A357" s="855"/>
      <c r="B357" s="775"/>
      <c r="C357" s="833"/>
      <c r="D357" s="1" t="s">
        <v>1788</v>
      </c>
      <c r="E357" s="1"/>
      <c r="F357" s="1"/>
      <c r="G357" s="775"/>
      <c r="H357" s="1"/>
      <c r="I357" s="1"/>
      <c r="J357" s="1"/>
      <c r="K357" s="1"/>
      <c r="L357" s="116"/>
      <c r="M357" s="116"/>
      <c r="N357" s="116"/>
      <c r="O357" s="116"/>
      <c r="P357" s="375"/>
      <c r="Q357" s="116"/>
      <c r="R357" s="116"/>
      <c r="S357" s="116"/>
      <c r="T357" s="116"/>
      <c r="U357" s="116"/>
      <c r="V357" s="116"/>
      <c r="W357" s="116"/>
      <c r="X357" s="116"/>
      <c r="Y357" s="116"/>
      <c r="Z357" s="116"/>
      <c r="AA357" s="116"/>
      <c r="AB357" s="116"/>
      <c r="AC357" s="116"/>
      <c r="AD357" s="116"/>
      <c r="AE357" s="116"/>
      <c r="AF357" s="116"/>
      <c r="AG357" s="116"/>
      <c r="AH357" s="1"/>
      <c r="AI357" s="46"/>
      <c r="AJ357" s="46"/>
      <c r="AK357" s="46"/>
      <c r="AL357" s="46"/>
      <c r="AM357" s="46"/>
      <c r="AN357" s="46"/>
      <c r="AO357" s="46"/>
      <c r="AP357" s="46"/>
      <c r="AQ357" s="1"/>
      <c r="AR357" s="15"/>
      <c r="AS357" s="15"/>
      <c r="AT357" s="15"/>
      <c r="AU357" s="15"/>
      <c r="AV357" s="15"/>
      <c r="AW357" s="15"/>
      <c r="AX357" s="15"/>
      <c r="AY357" s="15"/>
      <c r="AZ357" s="15"/>
      <c r="BA357" s="15"/>
      <c r="BB357" s="15"/>
      <c r="BC357" s="15"/>
      <c r="BD357" s="102"/>
      <c r="BE357" s="15"/>
      <c r="BF357" s="15"/>
      <c r="BG357" s="15"/>
      <c r="BH357" s="15"/>
      <c r="BI357" s="15"/>
      <c r="BJ357" s="15"/>
      <c r="BK357" s="15"/>
      <c r="BL357" s="15"/>
      <c r="BM357" s="15"/>
      <c r="BN357" s="15"/>
      <c r="BO357" s="15"/>
      <c r="BP357" s="15"/>
      <c r="BQ357" s="242"/>
      <c r="BR357" s="15"/>
      <c r="BS357" s="15"/>
      <c r="BT357" s="15"/>
      <c r="BU357" s="15"/>
      <c r="BV357" s="15"/>
      <c r="BW357" s="15"/>
      <c r="BX357" s="15"/>
      <c r="BY357" s="15"/>
      <c r="BZ357" s="15"/>
      <c r="CA357" s="15"/>
      <c r="CB357" s="15"/>
      <c r="CC357" s="15"/>
      <c r="CD357" s="15"/>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f t="shared" si="60"/>
        <v>0</v>
      </c>
      <c r="DE357" s="1"/>
      <c r="DF357" s="1"/>
      <c r="DG357" s="1"/>
      <c r="DH357" s="1"/>
      <c r="DI357" s="1"/>
      <c r="DJ357" s="1"/>
      <c r="DK357" s="1"/>
      <c r="DL357" s="1"/>
      <c r="DM357" s="1"/>
      <c r="DN357" s="1"/>
      <c r="DO357" s="1"/>
      <c r="DP357" s="1"/>
      <c r="DQ357" s="1"/>
    </row>
    <row r="358" spans="1:121" x14ac:dyDescent="0.2">
      <c r="A358" s="855"/>
      <c r="B358" s="775"/>
      <c r="C358" s="833"/>
      <c r="D358" s="1" t="s">
        <v>1590</v>
      </c>
      <c r="E358" s="1"/>
      <c r="F358" s="1"/>
      <c r="G358" s="775"/>
      <c r="H358" s="1"/>
      <c r="I358" s="1"/>
      <c r="J358" s="1"/>
      <c r="K358" s="1"/>
      <c r="L358" s="116"/>
      <c r="M358" s="116"/>
      <c r="N358" s="116"/>
      <c r="O358" s="116"/>
      <c r="P358" s="375"/>
      <c r="Q358" s="116"/>
      <c r="R358" s="116"/>
      <c r="S358" s="116"/>
      <c r="T358" s="116"/>
      <c r="U358" s="116"/>
      <c r="V358" s="116"/>
      <c r="W358" s="116"/>
      <c r="X358" s="116"/>
      <c r="Y358" s="116"/>
      <c r="Z358" s="116"/>
      <c r="AA358" s="116"/>
      <c r="AB358" s="116"/>
      <c r="AC358" s="116"/>
      <c r="AD358" s="116"/>
      <c r="AE358" s="116"/>
      <c r="AF358" s="116"/>
      <c r="AG358" s="116"/>
      <c r="AH358" s="1"/>
      <c r="AI358" s="46"/>
      <c r="AJ358" s="46"/>
      <c r="AK358" s="46"/>
      <c r="AL358" s="46"/>
      <c r="AM358" s="46"/>
      <c r="AN358" s="46"/>
      <c r="AO358" s="46"/>
      <c r="AP358" s="46"/>
      <c r="AQ358" s="1"/>
      <c r="AR358" s="15"/>
      <c r="AS358" s="15"/>
      <c r="AT358" s="15"/>
      <c r="AU358" s="15"/>
      <c r="AV358" s="15"/>
      <c r="AW358" s="15"/>
      <c r="AX358" s="15"/>
      <c r="AY358" s="15"/>
      <c r="AZ358" s="15"/>
      <c r="BA358" s="15"/>
      <c r="BB358" s="15"/>
      <c r="BC358" s="15"/>
      <c r="BD358" s="102"/>
      <c r="BE358" s="15"/>
      <c r="BF358" s="15"/>
      <c r="BG358" s="15"/>
      <c r="BH358" s="15"/>
      <c r="BI358" s="15"/>
      <c r="BJ358" s="15"/>
      <c r="BK358" s="15"/>
      <c r="BL358" s="15"/>
      <c r="BM358" s="15"/>
      <c r="BN358" s="15"/>
      <c r="BO358" s="15"/>
      <c r="BP358" s="15"/>
      <c r="BQ358" s="242"/>
      <c r="BR358" s="15"/>
      <c r="BS358" s="15"/>
      <c r="BT358" s="15"/>
      <c r="BU358" s="15"/>
      <c r="BV358" s="15"/>
      <c r="BW358" s="15"/>
      <c r="BX358" s="15"/>
      <c r="BY358" s="15"/>
      <c r="BZ358" s="15"/>
      <c r="CA358" s="15"/>
      <c r="CB358" s="15"/>
      <c r="CC358" s="15"/>
      <c r="CD358" s="15"/>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f t="shared" si="60"/>
        <v>0</v>
      </c>
      <c r="DE358" s="1"/>
      <c r="DF358" s="1"/>
      <c r="DG358" s="1"/>
      <c r="DH358" s="1"/>
      <c r="DI358" s="1"/>
      <c r="DJ358" s="1"/>
      <c r="DK358" s="1"/>
      <c r="DL358" s="1"/>
      <c r="DM358" s="1"/>
      <c r="DN358" s="1"/>
      <c r="DO358" s="1"/>
      <c r="DP358" s="1"/>
      <c r="DQ358" s="1"/>
    </row>
    <row r="359" spans="1:121" x14ac:dyDescent="0.2">
      <c r="A359" s="855"/>
      <c r="B359" s="775"/>
      <c r="C359" s="833"/>
      <c r="D359" s="1" t="s">
        <v>1789</v>
      </c>
      <c r="E359" s="1"/>
      <c r="F359" s="1"/>
      <c r="G359" s="775"/>
      <c r="H359" s="1"/>
      <c r="I359" s="1"/>
      <c r="J359" s="1"/>
      <c r="K359" s="1"/>
      <c r="L359" s="116"/>
      <c r="M359" s="116"/>
      <c r="N359" s="116"/>
      <c r="O359" s="116"/>
      <c r="P359" s="375"/>
      <c r="Q359" s="116"/>
      <c r="R359" s="116"/>
      <c r="S359" s="116"/>
      <c r="T359" s="116"/>
      <c r="U359" s="116"/>
      <c r="V359" s="116"/>
      <c r="W359" s="116"/>
      <c r="X359" s="116"/>
      <c r="Y359" s="116"/>
      <c r="Z359" s="116"/>
      <c r="AA359" s="116"/>
      <c r="AB359" s="116"/>
      <c r="AC359" s="116"/>
      <c r="AD359" s="116"/>
      <c r="AE359" s="116"/>
      <c r="AF359" s="116"/>
      <c r="AG359" s="116"/>
      <c r="AH359" s="1"/>
      <c r="AI359" s="46"/>
      <c r="AJ359" s="46"/>
      <c r="AK359" s="46"/>
      <c r="AL359" s="46"/>
      <c r="AM359" s="46"/>
      <c r="AN359" s="46"/>
      <c r="AO359" s="46"/>
      <c r="AP359" s="46"/>
      <c r="AQ359" s="1"/>
      <c r="AR359" s="15"/>
      <c r="AS359" s="15"/>
      <c r="AT359" s="15"/>
      <c r="AU359" s="15"/>
      <c r="AV359" s="15"/>
      <c r="AW359" s="15"/>
      <c r="AX359" s="15"/>
      <c r="AY359" s="15"/>
      <c r="AZ359" s="15"/>
      <c r="BA359" s="15"/>
      <c r="BB359" s="15"/>
      <c r="BC359" s="15"/>
      <c r="BD359" s="102"/>
      <c r="BE359" s="15"/>
      <c r="BF359" s="15"/>
      <c r="BG359" s="15"/>
      <c r="BH359" s="15"/>
      <c r="BI359" s="15"/>
      <c r="BJ359" s="15"/>
      <c r="BK359" s="15"/>
      <c r="BL359" s="15"/>
      <c r="BM359" s="15"/>
      <c r="BN359" s="15"/>
      <c r="BO359" s="15"/>
      <c r="BP359" s="15"/>
      <c r="BQ359" s="242"/>
      <c r="BR359" s="15"/>
      <c r="BS359" s="15"/>
      <c r="BT359" s="15"/>
      <c r="BU359" s="15"/>
      <c r="BV359" s="15"/>
      <c r="BW359" s="15"/>
      <c r="BX359" s="15"/>
      <c r="BY359" s="15"/>
      <c r="BZ359" s="15"/>
      <c r="CA359" s="15"/>
      <c r="CB359" s="15"/>
      <c r="CC359" s="15"/>
      <c r="CD359" s="15"/>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f t="shared" si="60"/>
        <v>0</v>
      </c>
      <c r="DE359" s="1"/>
      <c r="DF359" s="1"/>
      <c r="DG359" s="1"/>
      <c r="DH359" s="1"/>
      <c r="DI359" s="1"/>
      <c r="DJ359" s="1"/>
      <c r="DK359" s="1"/>
      <c r="DL359" s="1"/>
      <c r="DM359" s="1"/>
      <c r="DN359" s="1"/>
      <c r="DO359" s="1"/>
      <c r="DP359" s="1"/>
      <c r="DQ359" s="1"/>
    </row>
    <row r="360" spans="1:121" x14ac:dyDescent="0.2">
      <c r="A360" s="855"/>
      <c r="B360" s="775"/>
      <c r="C360" s="833"/>
      <c r="D360" s="1" t="s">
        <v>1790</v>
      </c>
      <c r="E360" s="1"/>
      <c r="F360" s="1"/>
      <c r="G360" s="775"/>
      <c r="H360" s="1"/>
      <c r="I360" s="1"/>
      <c r="J360" s="1"/>
      <c r="K360" s="1"/>
      <c r="L360" s="116"/>
      <c r="M360" s="116"/>
      <c r="N360" s="116"/>
      <c r="O360" s="116"/>
      <c r="P360" s="375"/>
      <c r="Q360" s="116"/>
      <c r="R360" s="116"/>
      <c r="S360" s="116"/>
      <c r="T360" s="116"/>
      <c r="U360" s="116"/>
      <c r="V360" s="116"/>
      <c r="W360" s="116"/>
      <c r="X360" s="116"/>
      <c r="Y360" s="116"/>
      <c r="Z360" s="116"/>
      <c r="AA360" s="116"/>
      <c r="AB360" s="116"/>
      <c r="AC360" s="116"/>
      <c r="AD360" s="116"/>
      <c r="AE360" s="116"/>
      <c r="AF360" s="116"/>
      <c r="AG360" s="116"/>
      <c r="AH360" s="1"/>
      <c r="AI360" s="46"/>
      <c r="AJ360" s="46"/>
      <c r="AK360" s="46"/>
      <c r="AL360" s="46"/>
      <c r="AM360" s="46"/>
      <c r="AN360" s="46"/>
      <c r="AO360" s="46"/>
      <c r="AP360" s="46"/>
      <c r="AQ360" s="1"/>
      <c r="AR360" s="15"/>
      <c r="AS360" s="15"/>
      <c r="AT360" s="15"/>
      <c r="AU360" s="15"/>
      <c r="AV360" s="15"/>
      <c r="AW360" s="15"/>
      <c r="AX360" s="15"/>
      <c r="AY360" s="15"/>
      <c r="AZ360" s="15"/>
      <c r="BA360" s="15"/>
      <c r="BB360" s="15"/>
      <c r="BC360" s="15"/>
      <c r="BD360" s="102"/>
      <c r="BE360" s="15"/>
      <c r="BF360" s="15"/>
      <c r="BG360" s="15"/>
      <c r="BH360" s="15"/>
      <c r="BI360" s="15"/>
      <c r="BJ360" s="15"/>
      <c r="BK360" s="15"/>
      <c r="BL360" s="15"/>
      <c r="BM360" s="15"/>
      <c r="BN360" s="15"/>
      <c r="BO360" s="15"/>
      <c r="BP360" s="15"/>
      <c r="BQ360" s="242"/>
      <c r="BR360" s="15"/>
      <c r="BS360" s="15"/>
      <c r="BT360" s="15"/>
      <c r="BU360" s="15"/>
      <c r="BV360" s="15"/>
      <c r="BW360" s="15"/>
      <c r="BX360" s="15"/>
      <c r="BY360" s="15"/>
      <c r="BZ360" s="15"/>
      <c r="CA360" s="15"/>
      <c r="CB360" s="15"/>
      <c r="CC360" s="15"/>
      <c r="CD360" s="15"/>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f t="shared" si="60"/>
        <v>0</v>
      </c>
      <c r="DE360" s="1"/>
      <c r="DF360" s="1"/>
      <c r="DG360" s="1"/>
      <c r="DH360" s="1"/>
      <c r="DI360" s="1"/>
      <c r="DJ360" s="1"/>
      <c r="DK360" s="1"/>
      <c r="DL360" s="1"/>
      <c r="DM360" s="1"/>
      <c r="DN360" s="1"/>
      <c r="DO360" s="1"/>
      <c r="DP360" s="1"/>
      <c r="DQ360" s="1"/>
    </row>
    <row r="361" spans="1:121" x14ac:dyDescent="0.2">
      <c r="A361" s="855"/>
      <c r="B361" s="775"/>
      <c r="C361" s="833"/>
      <c r="D361" s="1" t="s">
        <v>1791</v>
      </c>
      <c r="E361" s="1"/>
      <c r="F361" s="1"/>
      <c r="G361" s="775"/>
      <c r="H361" s="1"/>
      <c r="I361" s="1"/>
      <c r="J361" s="1"/>
      <c r="K361" s="1"/>
      <c r="L361" s="116"/>
      <c r="M361" s="116"/>
      <c r="N361" s="116"/>
      <c r="O361" s="116"/>
      <c r="P361" s="375"/>
      <c r="Q361" s="116"/>
      <c r="R361" s="116"/>
      <c r="S361" s="116"/>
      <c r="T361" s="116"/>
      <c r="U361" s="116"/>
      <c r="V361" s="116"/>
      <c r="W361" s="116"/>
      <c r="X361" s="116"/>
      <c r="Y361" s="116"/>
      <c r="Z361" s="116"/>
      <c r="AA361" s="116"/>
      <c r="AB361" s="116"/>
      <c r="AC361" s="116"/>
      <c r="AD361" s="116"/>
      <c r="AE361" s="116"/>
      <c r="AF361" s="116"/>
      <c r="AG361" s="116"/>
      <c r="AH361" s="1"/>
      <c r="AI361" s="46"/>
      <c r="AJ361" s="46"/>
      <c r="AK361" s="46"/>
      <c r="AL361" s="46"/>
      <c r="AM361" s="46"/>
      <c r="AN361" s="46"/>
      <c r="AO361" s="46"/>
      <c r="AP361" s="46"/>
      <c r="AQ361" s="1"/>
      <c r="AR361" s="15"/>
      <c r="AS361" s="15"/>
      <c r="AT361" s="15"/>
      <c r="AU361" s="15"/>
      <c r="AV361" s="15"/>
      <c r="AW361" s="15"/>
      <c r="AX361" s="15"/>
      <c r="AY361" s="15"/>
      <c r="AZ361" s="15"/>
      <c r="BA361" s="15"/>
      <c r="BB361" s="15"/>
      <c r="BC361" s="15"/>
      <c r="BD361" s="102"/>
      <c r="BE361" s="15"/>
      <c r="BF361" s="15"/>
      <c r="BG361" s="15"/>
      <c r="BH361" s="15"/>
      <c r="BI361" s="15"/>
      <c r="BJ361" s="15"/>
      <c r="BK361" s="15"/>
      <c r="BL361" s="15"/>
      <c r="BM361" s="15"/>
      <c r="BN361" s="15"/>
      <c r="BO361" s="15"/>
      <c r="BP361" s="15"/>
      <c r="BQ361" s="242"/>
      <c r="BR361" s="15"/>
      <c r="BS361" s="15"/>
      <c r="BT361" s="15"/>
      <c r="BU361" s="15"/>
      <c r="BV361" s="15"/>
      <c r="BW361" s="15"/>
      <c r="BX361" s="15"/>
      <c r="BY361" s="15"/>
      <c r="BZ361" s="15"/>
      <c r="CA361" s="15"/>
      <c r="CB361" s="15"/>
      <c r="CC361" s="15"/>
      <c r="CD361" s="15"/>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f t="shared" si="60"/>
        <v>0</v>
      </c>
      <c r="DE361" s="1"/>
      <c r="DF361" s="1"/>
      <c r="DG361" s="1"/>
      <c r="DH361" s="1"/>
      <c r="DI361" s="1"/>
      <c r="DJ361" s="1"/>
      <c r="DK361" s="1"/>
      <c r="DL361" s="1"/>
      <c r="DM361" s="1"/>
      <c r="DN361" s="1"/>
      <c r="DO361" s="1"/>
      <c r="DP361" s="1"/>
      <c r="DQ361" s="1"/>
    </row>
    <row r="362" spans="1:121" x14ac:dyDescent="0.2">
      <c r="A362" s="855"/>
      <c r="B362" s="775"/>
      <c r="C362" s="833"/>
      <c r="D362" s="1" t="s">
        <v>1792</v>
      </c>
      <c r="E362" s="1"/>
      <c r="F362" s="1"/>
      <c r="G362" s="775"/>
      <c r="H362" s="1"/>
      <c r="I362" s="1"/>
      <c r="J362" s="1"/>
      <c r="K362" s="1"/>
      <c r="L362" s="116"/>
      <c r="M362" s="116"/>
      <c r="N362" s="116"/>
      <c r="O362" s="116"/>
      <c r="P362" s="375"/>
      <c r="Q362" s="116"/>
      <c r="R362" s="116"/>
      <c r="S362" s="116"/>
      <c r="T362" s="116"/>
      <c r="U362" s="116"/>
      <c r="V362" s="116"/>
      <c r="W362" s="116"/>
      <c r="X362" s="116"/>
      <c r="Y362" s="116"/>
      <c r="Z362" s="116"/>
      <c r="AA362" s="116"/>
      <c r="AB362" s="116"/>
      <c r="AC362" s="116"/>
      <c r="AD362" s="116"/>
      <c r="AE362" s="116"/>
      <c r="AF362" s="116"/>
      <c r="AG362" s="116"/>
      <c r="AH362" s="1"/>
      <c r="AI362" s="46"/>
      <c r="AJ362" s="46"/>
      <c r="AK362" s="46"/>
      <c r="AL362" s="46"/>
      <c r="AM362" s="46"/>
      <c r="AN362" s="46"/>
      <c r="AO362" s="46"/>
      <c r="AP362" s="46"/>
      <c r="AQ362" s="1"/>
      <c r="AR362" s="15"/>
      <c r="AS362" s="15"/>
      <c r="AT362" s="15"/>
      <c r="AU362" s="15"/>
      <c r="AV362" s="15"/>
      <c r="AW362" s="15"/>
      <c r="AX362" s="15"/>
      <c r="AY362" s="15"/>
      <c r="AZ362" s="15"/>
      <c r="BA362" s="15"/>
      <c r="BB362" s="15"/>
      <c r="BC362" s="15"/>
      <c r="BD362" s="102"/>
      <c r="BE362" s="15"/>
      <c r="BF362" s="15"/>
      <c r="BG362" s="15"/>
      <c r="BH362" s="15"/>
      <c r="BI362" s="15"/>
      <c r="BJ362" s="15"/>
      <c r="BK362" s="15"/>
      <c r="BL362" s="15"/>
      <c r="BM362" s="15"/>
      <c r="BN362" s="15"/>
      <c r="BO362" s="15"/>
      <c r="BP362" s="15"/>
      <c r="BQ362" s="242"/>
      <c r="BR362" s="15"/>
      <c r="BS362" s="15"/>
      <c r="BT362" s="15"/>
      <c r="BU362" s="15"/>
      <c r="BV362" s="15"/>
      <c r="BW362" s="15"/>
      <c r="BX362" s="15"/>
      <c r="BY362" s="15"/>
      <c r="BZ362" s="15"/>
      <c r="CA362" s="15"/>
      <c r="CB362" s="15"/>
      <c r="CC362" s="15"/>
      <c r="CD362" s="15"/>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f t="shared" si="60"/>
        <v>0</v>
      </c>
      <c r="DE362" s="1"/>
      <c r="DF362" s="1"/>
      <c r="DG362" s="1"/>
      <c r="DH362" s="1"/>
      <c r="DI362" s="1"/>
      <c r="DJ362" s="1"/>
      <c r="DK362" s="1"/>
      <c r="DL362" s="1"/>
      <c r="DM362" s="1"/>
      <c r="DN362" s="1"/>
      <c r="DO362" s="1"/>
      <c r="DP362" s="1"/>
      <c r="DQ362" s="1"/>
    </row>
    <row r="363" spans="1:121" x14ac:dyDescent="0.2">
      <c r="A363" s="855"/>
      <c r="B363" s="775"/>
      <c r="C363" s="833"/>
      <c r="D363" s="1" t="s">
        <v>1793</v>
      </c>
      <c r="E363" s="1"/>
      <c r="F363" s="1"/>
      <c r="G363" s="775"/>
      <c r="H363" s="1"/>
      <c r="I363" s="1"/>
      <c r="J363" s="1"/>
      <c r="K363" s="1"/>
      <c r="L363" s="116"/>
      <c r="M363" s="116"/>
      <c r="N363" s="116"/>
      <c r="O363" s="116"/>
      <c r="P363" s="375"/>
      <c r="Q363" s="116"/>
      <c r="R363" s="116"/>
      <c r="S363" s="116"/>
      <c r="T363" s="116"/>
      <c r="U363" s="116"/>
      <c r="V363" s="116"/>
      <c r="W363" s="116"/>
      <c r="X363" s="116"/>
      <c r="Y363" s="116"/>
      <c r="Z363" s="116"/>
      <c r="AA363" s="116"/>
      <c r="AB363" s="116"/>
      <c r="AC363" s="116"/>
      <c r="AD363" s="116"/>
      <c r="AE363" s="116"/>
      <c r="AF363" s="116"/>
      <c r="AG363" s="116"/>
      <c r="AH363" s="1"/>
      <c r="AI363" s="46"/>
      <c r="AJ363" s="46"/>
      <c r="AK363" s="46"/>
      <c r="AL363" s="46"/>
      <c r="AM363" s="46"/>
      <c r="AN363" s="46"/>
      <c r="AO363" s="46"/>
      <c r="AP363" s="46"/>
      <c r="AQ363" s="1"/>
      <c r="AR363" s="15"/>
      <c r="AS363" s="15"/>
      <c r="AT363" s="15"/>
      <c r="AU363" s="15"/>
      <c r="AV363" s="15"/>
      <c r="AW363" s="15"/>
      <c r="AX363" s="15"/>
      <c r="AY363" s="15"/>
      <c r="AZ363" s="15"/>
      <c r="BA363" s="15"/>
      <c r="BB363" s="15"/>
      <c r="BC363" s="15"/>
      <c r="BD363" s="102"/>
      <c r="BE363" s="15"/>
      <c r="BF363" s="15"/>
      <c r="BG363" s="15"/>
      <c r="BH363" s="15"/>
      <c r="BI363" s="15"/>
      <c r="BJ363" s="15"/>
      <c r="BK363" s="15"/>
      <c r="BL363" s="15"/>
      <c r="BM363" s="15"/>
      <c r="BN363" s="15"/>
      <c r="BO363" s="15"/>
      <c r="BP363" s="15"/>
      <c r="BQ363" s="242"/>
      <c r="BR363" s="15"/>
      <c r="BS363" s="15"/>
      <c r="BT363" s="15"/>
      <c r="BU363" s="15"/>
      <c r="BV363" s="15"/>
      <c r="BW363" s="15"/>
      <c r="BX363" s="15"/>
      <c r="BY363" s="15"/>
      <c r="BZ363" s="15"/>
      <c r="CA363" s="15"/>
      <c r="CB363" s="15"/>
      <c r="CC363" s="15"/>
      <c r="CD363" s="15"/>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f t="shared" si="60"/>
        <v>0</v>
      </c>
      <c r="DE363" s="1"/>
      <c r="DF363" s="1"/>
      <c r="DG363" s="1"/>
      <c r="DH363" s="1"/>
      <c r="DI363" s="1"/>
      <c r="DJ363" s="1"/>
      <c r="DK363" s="1"/>
      <c r="DL363" s="1"/>
      <c r="DM363" s="1"/>
      <c r="DN363" s="1"/>
      <c r="DO363" s="1"/>
      <c r="DP363" s="1"/>
      <c r="DQ363" s="1"/>
    </row>
    <row r="364" spans="1:121" x14ac:dyDescent="0.2">
      <c r="A364" s="855"/>
      <c r="B364" s="775"/>
      <c r="C364" s="833"/>
      <c r="D364" s="1" t="s">
        <v>1794</v>
      </c>
      <c r="E364" s="1"/>
      <c r="F364" s="1"/>
      <c r="G364" s="775"/>
      <c r="H364" s="1"/>
      <c r="I364" s="1"/>
      <c r="J364" s="1"/>
      <c r="K364" s="1"/>
      <c r="L364" s="116"/>
      <c r="M364" s="116"/>
      <c r="N364" s="116"/>
      <c r="O364" s="116"/>
      <c r="P364" s="375"/>
      <c r="Q364" s="116"/>
      <c r="R364" s="116"/>
      <c r="S364" s="116"/>
      <c r="T364" s="116"/>
      <c r="U364" s="116"/>
      <c r="V364" s="116"/>
      <c r="W364" s="116"/>
      <c r="X364" s="116"/>
      <c r="Y364" s="116"/>
      <c r="Z364" s="116"/>
      <c r="AA364" s="116"/>
      <c r="AB364" s="116"/>
      <c r="AC364" s="116"/>
      <c r="AD364" s="116"/>
      <c r="AE364" s="116"/>
      <c r="AF364" s="116"/>
      <c r="AG364" s="116"/>
      <c r="AH364" s="1"/>
      <c r="AI364" s="46"/>
      <c r="AJ364" s="46"/>
      <c r="AK364" s="46"/>
      <c r="AL364" s="46"/>
      <c r="AM364" s="46"/>
      <c r="AN364" s="46"/>
      <c r="AO364" s="46"/>
      <c r="AP364" s="46"/>
      <c r="AQ364" s="1"/>
      <c r="AR364" s="15"/>
      <c r="AS364" s="15"/>
      <c r="AT364" s="15"/>
      <c r="AU364" s="15"/>
      <c r="AV364" s="15"/>
      <c r="AW364" s="15"/>
      <c r="AX364" s="15"/>
      <c r="AY364" s="15"/>
      <c r="AZ364" s="15"/>
      <c r="BA364" s="15"/>
      <c r="BB364" s="15"/>
      <c r="BC364" s="15"/>
      <c r="BD364" s="102"/>
      <c r="BE364" s="15"/>
      <c r="BF364" s="15"/>
      <c r="BG364" s="15"/>
      <c r="BH364" s="15"/>
      <c r="BI364" s="15"/>
      <c r="BJ364" s="15"/>
      <c r="BK364" s="15"/>
      <c r="BL364" s="15"/>
      <c r="BM364" s="15"/>
      <c r="BN364" s="15"/>
      <c r="BO364" s="15"/>
      <c r="BP364" s="15"/>
      <c r="BQ364" s="242"/>
      <c r="BR364" s="15"/>
      <c r="BS364" s="15"/>
      <c r="BT364" s="15"/>
      <c r="BU364" s="15"/>
      <c r="BV364" s="15"/>
      <c r="BW364" s="15"/>
      <c r="BX364" s="15"/>
      <c r="BY364" s="15"/>
      <c r="BZ364" s="15"/>
      <c r="CA364" s="15"/>
      <c r="CB364" s="15"/>
      <c r="CC364" s="15"/>
      <c r="CD364" s="15"/>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f t="shared" si="60"/>
        <v>0</v>
      </c>
      <c r="DE364" s="1"/>
      <c r="DF364" s="1"/>
      <c r="DG364" s="1"/>
      <c r="DH364" s="1"/>
      <c r="DI364" s="1"/>
      <c r="DJ364" s="1"/>
      <c r="DK364" s="1"/>
      <c r="DL364" s="1"/>
      <c r="DM364" s="1"/>
      <c r="DN364" s="1"/>
      <c r="DO364" s="1"/>
      <c r="DP364" s="1"/>
      <c r="DQ364" s="1"/>
    </row>
    <row r="365" spans="1:121" x14ac:dyDescent="0.2">
      <c r="A365" s="855"/>
      <c r="B365" s="775"/>
      <c r="C365" s="833"/>
      <c r="D365" s="1" t="s">
        <v>1795</v>
      </c>
      <c r="E365" s="1"/>
      <c r="F365" s="1"/>
      <c r="G365" s="775"/>
      <c r="H365" s="1"/>
      <c r="I365" s="1"/>
      <c r="J365" s="1"/>
      <c r="K365" s="1"/>
      <c r="L365" s="116"/>
      <c r="M365" s="116"/>
      <c r="N365" s="116"/>
      <c r="O365" s="116"/>
      <c r="P365" s="375"/>
      <c r="Q365" s="116"/>
      <c r="R365" s="116"/>
      <c r="S365" s="116"/>
      <c r="T365" s="116"/>
      <c r="U365" s="116"/>
      <c r="V365" s="116"/>
      <c r="W365" s="116"/>
      <c r="X365" s="116"/>
      <c r="Y365" s="116"/>
      <c r="Z365" s="116"/>
      <c r="AA365" s="116"/>
      <c r="AB365" s="116"/>
      <c r="AC365" s="116"/>
      <c r="AD365" s="116"/>
      <c r="AE365" s="116"/>
      <c r="AF365" s="116"/>
      <c r="AG365" s="116"/>
      <c r="AH365" s="1"/>
      <c r="AI365" s="46"/>
      <c r="AJ365" s="46"/>
      <c r="AK365" s="46"/>
      <c r="AL365" s="46"/>
      <c r="AM365" s="46"/>
      <c r="AN365" s="46"/>
      <c r="AO365" s="46"/>
      <c r="AP365" s="46"/>
      <c r="AQ365" s="1"/>
      <c r="AR365" s="15"/>
      <c r="AS365" s="15"/>
      <c r="AT365" s="15"/>
      <c r="AU365" s="15"/>
      <c r="AV365" s="15"/>
      <c r="AW365" s="15"/>
      <c r="AX365" s="15"/>
      <c r="AY365" s="15"/>
      <c r="AZ365" s="15"/>
      <c r="BA365" s="15"/>
      <c r="BB365" s="15"/>
      <c r="BC365" s="15"/>
      <c r="BD365" s="102"/>
      <c r="BE365" s="15"/>
      <c r="BF365" s="15"/>
      <c r="BG365" s="15"/>
      <c r="BH365" s="15"/>
      <c r="BI365" s="15"/>
      <c r="BJ365" s="15"/>
      <c r="BK365" s="15"/>
      <c r="BL365" s="15"/>
      <c r="BM365" s="15"/>
      <c r="BN365" s="15"/>
      <c r="BO365" s="15"/>
      <c r="BP365" s="15"/>
      <c r="BQ365" s="242"/>
      <c r="BR365" s="15"/>
      <c r="BS365" s="15"/>
      <c r="BT365" s="15"/>
      <c r="BU365" s="15"/>
      <c r="BV365" s="15"/>
      <c r="BW365" s="15"/>
      <c r="BX365" s="15"/>
      <c r="BY365" s="15"/>
      <c r="BZ365" s="15"/>
      <c r="CA365" s="15"/>
      <c r="CB365" s="15"/>
      <c r="CC365" s="15"/>
      <c r="CD365" s="15"/>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f t="shared" si="60"/>
        <v>0</v>
      </c>
      <c r="DE365" s="1"/>
      <c r="DF365" s="1"/>
      <c r="DG365" s="1"/>
      <c r="DH365" s="1"/>
      <c r="DI365" s="1"/>
      <c r="DJ365" s="1"/>
      <c r="DK365" s="1"/>
      <c r="DL365" s="1"/>
      <c r="DM365" s="1"/>
      <c r="DN365" s="1"/>
      <c r="DO365" s="1"/>
      <c r="DP365" s="1"/>
      <c r="DQ365" s="1"/>
    </row>
    <row r="366" spans="1:121" x14ac:dyDescent="0.2">
      <c r="A366" s="855"/>
      <c r="B366" s="775"/>
      <c r="C366" s="833"/>
      <c r="D366" s="1" t="s">
        <v>1796</v>
      </c>
      <c r="E366" s="1"/>
      <c r="F366" s="1"/>
      <c r="G366" s="775"/>
      <c r="H366" s="1"/>
      <c r="I366" s="1"/>
      <c r="J366" s="1"/>
      <c r="K366" s="1"/>
      <c r="L366" s="116"/>
      <c r="M366" s="116"/>
      <c r="N366" s="116"/>
      <c r="O366" s="116"/>
      <c r="P366" s="375"/>
      <c r="Q366" s="116"/>
      <c r="R366" s="116"/>
      <c r="S366" s="116"/>
      <c r="T366" s="116"/>
      <c r="U366" s="116"/>
      <c r="V366" s="116"/>
      <c r="W366" s="116"/>
      <c r="X366" s="116"/>
      <c r="Y366" s="116"/>
      <c r="Z366" s="116"/>
      <c r="AA366" s="116"/>
      <c r="AB366" s="116"/>
      <c r="AC366" s="116"/>
      <c r="AD366" s="116"/>
      <c r="AE366" s="116"/>
      <c r="AF366" s="116"/>
      <c r="AG366" s="116"/>
      <c r="AH366" s="1"/>
      <c r="AI366" s="46"/>
      <c r="AJ366" s="46"/>
      <c r="AK366" s="46"/>
      <c r="AL366" s="46"/>
      <c r="AM366" s="46"/>
      <c r="AN366" s="46"/>
      <c r="AO366" s="46"/>
      <c r="AP366" s="46"/>
      <c r="AQ366" s="1"/>
      <c r="AR366" s="15"/>
      <c r="AS366" s="15"/>
      <c r="AT366" s="15"/>
      <c r="AU366" s="15"/>
      <c r="AV366" s="15"/>
      <c r="AW366" s="15"/>
      <c r="AX366" s="15"/>
      <c r="AY366" s="15"/>
      <c r="AZ366" s="15"/>
      <c r="BA366" s="15"/>
      <c r="BB366" s="15"/>
      <c r="BC366" s="15"/>
      <c r="BD366" s="102"/>
      <c r="BE366" s="15"/>
      <c r="BF366" s="15"/>
      <c r="BG366" s="15"/>
      <c r="BH366" s="15"/>
      <c r="BI366" s="15"/>
      <c r="BJ366" s="15"/>
      <c r="BK366" s="15"/>
      <c r="BL366" s="15"/>
      <c r="BM366" s="15"/>
      <c r="BN366" s="15"/>
      <c r="BO366" s="15"/>
      <c r="BP366" s="15"/>
      <c r="BQ366" s="242"/>
      <c r="BR366" s="15"/>
      <c r="BS366" s="15"/>
      <c r="BT366" s="15"/>
      <c r="BU366" s="15"/>
      <c r="BV366" s="15"/>
      <c r="BW366" s="15"/>
      <c r="BX366" s="15"/>
      <c r="BY366" s="15"/>
      <c r="BZ366" s="15"/>
      <c r="CA366" s="15"/>
      <c r="CB366" s="15"/>
      <c r="CC366" s="15"/>
      <c r="CD366" s="15"/>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f t="shared" si="60"/>
        <v>0</v>
      </c>
      <c r="DE366" s="1"/>
      <c r="DF366" s="1"/>
      <c r="DG366" s="1"/>
      <c r="DH366" s="1"/>
      <c r="DI366" s="1"/>
      <c r="DJ366" s="1"/>
      <c r="DK366" s="1"/>
      <c r="DL366" s="1"/>
      <c r="DM366" s="1"/>
      <c r="DN366" s="1"/>
      <c r="DO366" s="1"/>
      <c r="DP366" s="1"/>
      <c r="DQ366" s="1"/>
    </row>
    <row r="367" spans="1:121" x14ac:dyDescent="0.2">
      <c r="A367" s="855"/>
      <c r="B367" s="775"/>
      <c r="C367" s="833"/>
      <c r="D367" s="1" t="s">
        <v>1797</v>
      </c>
      <c r="E367" s="1"/>
      <c r="F367" s="1"/>
      <c r="G367" s="775"/>
      <c r="H367" s="1"/>
      <c r="I367" s="1"/>
      <c r="J367" s="1"/>
      <c r="K367" s="1"/>
      <c r="L367" s="116"/>
      <c r="M367" s="116"/>
      <c r="N367" s="116"/>
      <c r="O367" s="116"/>
      <c r="P367" s="375"/>
      <c r="Q367" s="116"/>
      <c r="R367" s="116"/>
      <c r="S367" s="116"/>
      <c r="T367" s="116"/>
      <c r="U367" s="116"/>
      <c r="V367" s="116"/>
      <c r="W367" s="116"/>
      <c r="X367" s="116"/>
      <c r="Y367" s="116"/>
      <c r="Z367" s="116"/>
      <c r="AA367" s="116"/>
      <c r="AB367" s="116"/>
      <c r="AC367" s="116"/>
      <c r="AD367" s="116"/>
      <c r="AE367" s="116"/>
      <c r="AF367" s="116"/>
      <c r="AG367" s="116"/>
      <c r="AH367" s="1"/>
      <c r="AI367" s="46"/>
      <c r="AJ367" s="46"/>
      <c r="AK367" s="46"/>
      <c r="AL367" s="46"/>
      <c r="AM367" s="46"/>
      <c r="AN367" s="46"/>
      <c r="AO367" s="46"/>
      <c r="AP367" s="46"/>
      <c r="AQ367" s="1"/>
      <c r="AR367" s="15"/>
      <c r="AS367" s="15"/>
      <c r="AT367" s="15"/>
      <c r="AU367" s="15"/>
      <c r="AV367" s="15"/>
      <c r="AW367" s="15"/>
      <c r="AX367" s="15"/>
      <c r="AY367" s="15"/>
      <c r="AZ367" s="15"/>
      <c r="BA367" s="15"/>
      <c r="BB367" s="15"/>
      <c r="BC367" s="15"/>
      <c r="BD367" s="102"/>
      <c r="BE367" s="15"/>
      <c r="BF367" s="15"/>
      <c r="BG367" s="15"/>
      <c r="BH367" s="15"/>
      <c r="BI367" s="15"/>
      <c r="BJ367" s="15"/>
      <c r="BK367" s="15"/>
      <c r="BL367" s="15"/>
      <c r="BM367" s="15"/>
      <c r="BN367" s="15"/>
      <c r="BO367" s="15"/>
      <c r="BP367" s="15"/>
      <c r="BQ367" s="242"/>
      <c r="BR367" s="15"/>
      <c r="BS367" s="15"/>
      <c r="BT367" s="15"/>
      <c r="BU367" s="15"/>
      <c r="BV367" s="15"/>
      <c r="BW367" s="15"/>
      <c r="BX367" s="15"/>
      <c r="BY367" s="15"/>
      <c r="BZ367" s="15"/>
      <c r="CA367" s="15"/>
      <c r="CB367" s="15"/>
      <c r="CC367" s="15"/>
      <c r="CD367" s="15"/>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f t="shared" si="60"/>
        <v>0</v>
      </c>
      <c r="DE367" s="1"/>
      <c r="DF367" s="1"/>
      <c r="DG367" s="1"/>
      <c r="DH367" s="1"/>
      <c r="DI367" s="1"/>
      <c r="DJ367" s="1"/>
      <c r="DK367" s="1"/>
      <c r="DL367" s="1"/>
      <c r="DM367" s="1"/>
      <c r="DN367" s="1"/>
      <c r="DO367" s="1"/>
      <c r="DP367" s="1"/>
      <c r="DQ367" s="1"/>
    </row>
    <row r="368" spans="1:121" x14ac:dyDescent="0.2">
      <c r="A368" s="855"/>
      <c r="B368" s="775"/>
      <c r="C368" s="833"/>
      <c r="D368" s="1" t="s">
        <v>1798</v>
      </c>
      <c r="E368" s="1"/>
      <c r="F368" s="1"/>
      <c r="G368" s="775"/>
      <c r="H368" s="1"/>
      <c r="I368" s="1"/>
      <c r="J368" s="1"/>
      <c r="K368" s="1"/>
      <c r="L368" s="116"/>
      <c r="M368" s="116"/>
      <c r="N368" s="116"/>
      <c r="O368" s="116"/>
      <c r="P368" s="375"/>
      <c r="Q368" s="116"/>
      <c r="R368" s="116"/>
      <c r="S368" s="116"/>
      <c r="T368" s="116"/>
      <c r="U368" s="116"/>
      <c r="V368" s="116"/>
      <c r="W368" s="116"/>
      <c r="X368" s="116"/>
      <c r="Y368" s="116"/>
      <c r="Z368" s="116"/>
      <c r="AA368" s="116"/>
      <c r="AB368" s="116"/>
      <c r="AC368" s="116"/>
      <c r="AD368" s="116"/>
      <c r="AE368" s="116"/>
      <c r="AF368" s="116"/>
      <c r="AG368" s="116"/>
      <c r="AH368" s="1"/>
      <c r="AI368" s="46"/>
      <c r="AJ368" s="46"/>
      <c r="AK368" s="46"/>
      <c r="AL368" s="46"/>
      <c r="AM368" s="46"/>
      <c r="AN368" s="46"/>
      <c r="AO368" s="46"/>
      <c r="AP368" s="46"/>
      <c r="AQ368" s="1"/>
      <c r="AR368" s="15"/>
      <c r="AS368" s="15"/>
      <c r="AT368" s="15"/>
      <c r="AU368" s="15"/>
      <c r="AV368" s="15"/>
      <c r="AW368" s="15"/>
      <c r="AX368" s="15"/>
      <c r="AY368" s="15"/>
      <c r="AZ368" s="15"/>
      <c r="BA368" s="15"/>
      <c r="BB368" s="15"/>
      <c r="BC368" s="15"/>
      <c r="BD368" s="102"/>
      <c r="BE368" s="15"/>
      <c r="BF368" s="15"/>
      <c r="BG368" s="15"/>
      <c r="BH368" s="15"/>
      <c r="BI368" s="15"/>
      <c r="BJ368" s="15"/>
      <c r="BK368" s="15"/>
      <c r="BL368" s="15"/>
      <c r="BM368" s="15"/>
      <c r="BN368" s="15"/>
      <c r="BO368" s="15"/>
      <c r="BP368" s="15"/>
      <c r="BQ368" s="242"/>
      <c r="BR368" s="15"/>
      <c r="BS368" s="15"/>
      <c r="BT368" s="15"/>
      <c r="BU368" s="15"/>
      <c r="BV368" s="15"/>
      <c r="BW368" s="15"/>
      <c r="BX368" s="15"/>
      <c r="BY368" s="15"/>
      <c r="BZ368" s="15"/>
      <c r="CA368" s="15"/>
      <c r="CB368" s="15"/>
      <c r="CC368" s="15"/>
      <c r="CD368" s="15"/>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f t="shared" si="60"/>
        <v>0</v>
      </c>
      <c r="DE368" s="1"/>
      <c r="DF368" s="1"/>
      <c r="DG368" s="1"/>
      <c r="DH368" s="1"/>
      <c r="DI368" s="1"/>
      <c r="DJ368" s="1"/>
      <c r="DK368" s="1"/>
      <c r="DL368" s="1"/>
      <c r="DM368" s="1"/>
      <c r="DN368" s="1"/>
      <c r="DO368" s="1"/>
      <c r="DP368" s="1"/>
      <c r="DQ368" s="1"/>
    </row>
    <row r="369" spans="1:121" x14ac:dyDescent="0.2">
      <c r="A369" s="855"/>
      <c r="B369" s="775"/>
      <c r="C369" s="833"/>
      <c r="D369" s="1" t="s">
        <v>1799</v>
      </c>
      <c r="E369" s="1"/>
      <c r="F369" s="1"/>
      <c r="G369" s="775"/>
      <c r="H369" s="1"/>
      <c r="I369" s="1"/>
      <c r="J369" s="1"/>
      <c r="K369" s="1"/>
      <c r="L369" s="116"/>
      <c r="M369" s="116"/>
      <c r="N369" s="116"/>
      <c r="O369" s="116"/>
      <c r="P369" s="375"/>
      <c r="Q369" s="116"/>
      <c r="R369" s="116"/>
      <c r="S369" s="116"/>
      <c r="T369" s="116"/>
      <c r="U369" s="116"/>
      <c r="V369" s="116"/>
      <c r="W369" s="116"/>
      <c r="X369" s="116"/>
      <c r="Y369" s="116"/>
      <c r="Z369" s="116"/>
      <c r="AA369" s="116"/>
      <c r="AB369" s="116"/>
      <c r="AC369" s="116"/>
      <c r="AD369" s="116"/>
      <c r="AE369" s="116"/>
      <c r="AF369" s="116"/>
      <c r="AG369" s="116"/>
      <c r="AH369" s="1"/>
      <c r="AI369" s="46"/>
      <c r="AJ369" s="46"/>
      <c r="AK369" s="46"/>
      <c r="AL369" s="46"/>
      <c r="AM369" s="46"/>
      <c r="AN369" s="46"/>
      <c r="AO369" s="46"/>
      <c r="AP369" s="46"/>
      <c r="AQ369" s="1"/>
      <c r="AR369" s="15"/>
      <c r="AS369" s="15"/>
      <c r="AT369" s="15"/>
      <c r="AU369" s="15"/>
      <c r="AV369" s="15"/>
      <c r="AW369" s="15"/>
      <c r="AX369" s="15"/>
      <c r="AY369" s="15"/>
      <c r="AZ369" s="15"/>
      <c r="BA369" s="15"/>
      <c r="BB369" s="15"/>
      <c r="BC369" s="15"/>
      <c r="BD369" s="102"/>
      <c r="BE369" s="15"/>
      <c r="BF369" s="15"/>
      <c r="BG369" s="15"/>
      <c r="BH369" s="15"/>
      <c r="BI369" s="15"/>
      <c r="BJ369" s="15"/>
      <c r="BK369" s="15"/>
      <c r="BL369" s="15"/>
      <c r="BM369" s="15"/>
      <c r="BN369" s="15"/>
      <c r="BO369" s="15"/>
      <c r="BP369" s="15"/>
      <c r="BQ369" s="242"/>
      <c r="BR369" s="15"/>
      <c r="BS369" s="15"/>
      <c r="BT369" s="15"/>
      <c r="BU369" s="15"/>
      <c r="BV369" s="15"/>
      <c r="BW369" s="15"/>
      <c r="BX369" s="15"/>
      <c r="BY369" s="15"/>
      <c r="BZ369" s="15"/>
      <c r="CA369" s="15"/>
      <c r="CB369" s="15"/>
      <c r="CC369" s="15"/>
      <c r="CD369" s="15"/>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f t="shared" si="60"/>
        <v>0</v>
      </c>
      <c r="DE369" s="1"/>
      <c r="DF369" s="1"/>
      <c r="DG369" s="1"/>
      <c r="DH369" s="1"/>
      <c r="DI369" s="1"/>
      <c r="DJ369" s="1"/>
      <c r="DK369" s="1"/>
      <c r="DL369" s="1"/>
      <c r="DM369" s="1"/>
      <c r="DN369" s="1"/>
      <c r="DO369" s="1"/>
      <c r="DP369" s="1"/>
      <c r="DQ369" s="1"/>
    </row>
    <row r="370" spans="1:121" x14ac:dyDescent="0.2">
      <c r="A370" s="855"/>
      <c r="B370" s="775"/>
      <c r="C370" s="833"/>
      <c r="D370" s="1" t="s">
        <v>1800</v>
      </c>
      <c r="E370" s="1"/>
      <c r="F370" s="1"/>
      <c r="G370" s="775"/>
      <c r="H370" s="1"/>
      <c r="I370" s="1"/>
      <c r="J370" s="1"/>
      <c r="K370" s="1"/>
      <c r="L370" s="116"/>
      <c r="M370" s="116"/>
      <c r="N370" s="116"/>
      <c r="O370" s="116"/>
      <c r="P370" s="375"/>
      <c r="Q370" s="116"/>
      <c r="R370" s="116"/>
      <c r="S370" s="116"/>
      <c r="T370" s="116"/>
      <c r="U370" s="116"/>
      <c r="V370" s="116"/>
      <c r="W370" s="116"/>
      <c r="X370" s="116"/>
      <c r="Y370" s="116"/>
      <c r="Z370" s="116"/>
      <c r="AA370" s="116"/>
      <c r="AB370" s="116"/>
      <c r="AC370" s="116"/>
      <c r="AD370" s="116"/>
      <c r="AE370" s="116"/>
      <c r="AF370" s="116"/>
      <c r="AG370" s="116"/>
      <c r="AH370" s="1"/>
      <c r="AI370" s="46"/>
      <c r="AJ370" s="46"/>
      <c r="AK370" s="46"/>
      <c r="AL370" s="46"/>
      <c r="AM370" s="46"/>
      <c r="AN370" s="46"/>
      <c r="AO370" s="46"/>
      <c r="AP370" s="46"/>
      <c r="AQ370" s="1"/>
      <c r="AR370" s="15"/>
      <c r="AS370" s="15"/>
      <c r="AT370" s="15"/>
      <c r="AU370" s="15"/>
      <c r="AV370" s="15"/>
      <c r="AW370" s="15"/>
      <c r="AX370" s="15"/>
      <c r="AY370" s="15"/>
      <c r="AZ370" s="15"/>
      <c r="BA370" s="15"/>
      <c r="BB370" s="15"/>
      <c r="BC370" s="15"/>
      <c r="BD370" s="102"/>
      <c r="BE370" s="15"/>
      <c r="BF370" s="15"/>
      <c r="BG370" s="15"/>
      <c r="BH370" s="15"/>
      <c r="BI370" s="15"/>
      <c r="BJ370" s="15"/>
      <c r="BK370" s="15"/>
      <c r="BL370" s="15"/>
      <c r="BM370" s="15"/>
      <c r="BN370" s="15"/>
      <c r="BO370" s="15"/>
      <c r="BP370" s="15"/>
      <c r="BQ370" s="242"/>
      <c r="BR370" s="15"/>
      <c r="BS370" s="15"/>
      <c r="BT370" s="15"/>
      <c r="BU370" s="15"/>
      <c r="BV370" s="15"/>
      <c r="BW370" s="15"/>
      <c r="BX370" s="15"/>
      <c r="BY370" s="15"/>
      <c r="BZ370" s="15"/>
      <c r="CA370" s="15"/>
      <c r="CB370" s="15"/>
      <c r="CC370" s="15"/>
      <c r="CD370" s="15"/>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f t="shared" ref="DD370:DD433" si="61">SUM(CR370:DC370)</f>
        <v>0</v>
      </c>
      <c r="DE370" s="1"/>
      <c r="DF370" s="1"/>
      <c r="DG370" s="1"/>
      <c r="DH370" s="1"/>
      <c r="DI370" s="1"/>
      <c r="DJ370" s="1"/>
      <c r="DK370" s="1"/>
      <c r="DL370" s="1"/>
      <c r="DM370" s="1"/>
      <c r="DN370" s="1"/>
      <c r="DO370" s="1"/>
      <c r="DP370" s="1"/>
      <c r="DQ370" s="1"/>
    </row>
    <row r="371" spans="1:121" x14ac:dyDescent="0.2">
      <c r="A371" s="855"/>
      <c r="B371" s="775"/>
      <c r="C371" s="833"/>
      <c r="D371" s="1" t="s">
        <v>1539</v>
      </c>
      <c r="E371" s="1"/>
      <c r="F371" s="1"/>
      <c r="G371" s="775"/>
      <c r="H371" s="1"/>
      <c r="I371" s="1"/>
      <c r="J371" s="1"/>
      <c r="K371" s="1"/>
      <c r="L371" s="116"/>
      <c r="M371" s="116"/>
      <c r="N371" s="116"/>
      <c r="O371" s="116"/>
      <c r="P371" s="375"/>
      <c r="Q371" s="116"/>
      <c r="R371" s="116"/>
      <c r="S371" s="116"/>
      <c r="T371" s="116"/>
      <c r="U371" s="116"/>
      <c r="V371" s="116"/>
      <c r="W371" s="116"/>
      <c r="X371" s="116"/>
      <c r="Y371" s="116"/>
      <c r="Z371" s="116"/>
      <c r="AA371" s="116"/>
      <c r="AB371" s="116"/>
      <c r="AC371" s="116"/>
      <c r="AD371" s="116"/>
      <c r="AE371" s="116"/>
      <c r="AF371" s="116"/>
      <c r="AG371" s="116"/>
      <c r="AH371" s="1"/>
      <c r="AI371" s="46"/>
      <c r="AJ371" s="46"/>
      <c r="AK371" s="46"/>
      <c r="AL371" s="46"/>
      <c r="AM371" s="46"/>
      <c r="AN371" s="46"/>
      <c r="AO371" s="46"/>
      <c r="AP371" s="46"/>
      <c r="AQ371" s="1"/>
      <c r="AR371" s="15"/>
      <c r="AS371" s="15"/>
      <c r="AT371" s="15"/>
      <c r="AU371" s="15"/>
      <c r="AV371" s="15"/>
      <c r="AW371" s="15"/>
      <c r="AX371" s="15"/>
      <c r="AY371" s="15"/>
      <c r="AZ371" s="15"/>
      <c r="BA371" s="15"/>
      <c r="BB371" s="15"/>
      <c r="BC371" s="15"/>
      <c r="BD371" s="102"/>
      <c r="BE371" s="15"/>
      <c r="BF371" s="15"/>
      <c r="BG371" s="15"/>
      <c r="BH371" s="15"/>
      <c r="BI371" s="15"/>
      <c r="BJ371" s="15"/>
      <c r="BK371" s="15"/>
      <c r="BL371" s="15"/>
      <c r="BM371" s="15"/>
      <c r="BN371" s="15"/>
      <c r="BO371" s="15"/>
      <c r="BP371" s="15"/>
      <c r="BQ371" s="242"/>
      <c r="BR371" s="15"/>
      <c r="BS371" s="15"/>
      <c r="BT371" s="15"/>
      <c r="BU371" s="15"/>
      <c r="BV371" s="15"/>
      <c r="BW371" s="15"/>
      <c r="BX371" s="15"/>
      <c r="BY371" s="15"/>
      <c r="BZ371" s="15"/>
      <c r="CA371" s="15"/>
      <c r="CB371" s="15"/>
      <c r="CC371" s="15"/>
      <c r="CD371" s="15"/>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f t="shared" si="61"/>
        <v>0</v>
      </c>
      <c r="DE371" s="1"/>
      <c r="DF371" s="1"/>
      <c r="DG371" s="1"/>
      <c r="DH371" s="1"/>
      <c r="DI371" s="1"/>
      <c r="DJ371" s="1"/>
      <c r="DK371" s="1"/>
      <c r="DL371" s="1"/>
      <c r="DM371" s="1"/>
      <c r="DN371" s="1"/>
      <c r="DO371" s="1"/>
      <c r="DP371" s="1"/>
      <c r="DQ371" s="1"/>
    </row>
    <row r="372" spans="1:121" x14ac:dyDescent="0.2">
      <c r="A372" s="855"/>
      <c r="B372" s="775"/>
      <c r="C372" s="833"/>
      <c r="D372" s="1" t="s">
        <v>1801</v>
      </c>
      <c r="E372" s="1"/>
      <c r="F372" s="1"/>
      <c r="G372" s="775"/>
      <c r="H372" s="1"/>
      <c r="I372" s="1"/>
      <c r="J372" s="1"/>
      <c r="K372" s="1"/>
      <c r="L372" s="116"/>
      <c r="M372" s="116"/>
      <c r="N372" s="116"/>
      <c r="O372" s="116"/>
      <c r="P372" s="375"/>
      <c r="Q372" s="116"/>
      <c r="R372" s="116"/>
      <c r="S372" s="116"/>
      <c r="T372" s="116"/>
      <c r="U372" s="116"/>
      <c r="V372" s="116"/>
      <c r="W372" s="116"/>
      <c r="X372" s="116"/>
      <c r="Y372" s="116"/>
      <c r="Z372" s="116"/>
      <c r="AA372" s="116"/>
      <c r="AB372" s="116"/>
      <c r="AC372" s="116"/>
      <c r="AD372" s="116"/>
      <c r="AE372" s="116"/>
      <c r="AF372" s="116"/>
      <c r="AG372" s="116"/>
      <c r="AH372" s="1"/>
      <c r="AI372" s="46"/>
      <c r="AJ372" s="46"/>
      <c r="AK372" s="46"/>
      <c r="AL372" s="46"/>
      <c r="AM372" s="46"/>
      <c r="AN372" s="46"/>
      <c r="AO372" s="46"/>
      <c r="AP372" s="46"/>
      <c r="AQ372" s="1"/>
      <c r="AR372" s="15"/>
      <c r="AS372" s="15"/>
      <c r="AT372" s="15"/>
      <c r="AU372" s="15"/>
      <c r="AV372" s="15"/>
      <c r="AW372" s="15"/>
      <c r="AX372" s="15"/>
      <c r="AY372" s="15"/>
      <c r="AZ372" s="15"/>
      <c r="BA372" s="15"/>
      <c r="BB372" s="15"/>
      <c r="BC372" s="15"/>
      <c r="BD372" s="102"/>
      <c r="BE372" s="15"/>
      <c r="BF372" s="15"/>
      <c r="BG372" s="15"/>
      <c r="BH372" s="15"/>
      <c r="BI372" s="15"/>
      <c r="BJ372" s="15"/>
      <c r="BK372" s="15"/>
      <c r="BL372" s="15"/>
      <c r="BM372" s="15"/>
      <c r="BN372" s="15"/>
      <c r="BO372" s="15"/>
      <c r="BP372" s="15"/>
      <c r="BQ372" s="242"/>
      <c r="BR372" s="15"/>
      <c r="BS372" s="15"/>
      <c r="BT372" s="15"/>
      <c r="BU372" s="15"/>
      <c r="BV372" s="15"/>
      <c r="BW372" s="15"/>
      <c r="BX372" s="15"/>
      <c r="BY372" s="15"/>
      <c r="BZ372" s="15"/>
      <c r="CA372" s="15"/>
      <c r="CB372" s="15"/>
      <c r="CC372" s="15"/>
      <c r="CD372" s="15"/>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f t="shared" si="61"/>
        <v>0</v>
      </c>
      <c r="DE372" s="1"/>
      <c r="DF372" s="1"/>
      <c r="DG372" s="1"/>
      <c r="DH372" s="1"/>
      <c r="DI372" s="1"/>
      <c r="DJ372" s="1"/>
      <c r="DK372" s="1"/>
      <c r="DL372" s="1"/>
      <c r="DM372" s="1"/>
      <c r="DN372" s="1"/>
      <c r="DO372" s="1"/>
      <c r="DP372" s="1"/>
      <c r="DQ372" s="1"/>
    </row>
    <row r="373" spans="1:121" x14ac:dyDescent="0.2">
      <c r="A373" s="855"/>
      <c r="B373" s="775"/>
      <c r="C373" s="833"/>
      <c r="D373" s="1" t="s">
        <v>1802</v>
      </c>
      <c r="E373" s="1"/>
      <c r="F373" s="1"/>
      <c r="G373" s="775"/>
      <c r="H373" s="1"/>
      <c r="I373" s="1"/>
      <c r="J373" s="1"/>
      <c r="K373" s="1"/>
      <c r="L373" s="116"/>
      <c r="M373" s="116"/>
      <c r="N373" s="116"/>
      <c r="O373" s="116"/>
      <c r="P373" s="375"/>
      <c r="Q373" s="116"/>
      <c r="R373" s="116"/>
      <c r="S373" s="116"/>
      <c r="T373" s="116"/>
      <c r="U373" s="116"/>
      <c r="V373" s="116"/>
      <c r="W373" s="116"/>
      <c r="X373" s="116"/>
      <c r="Y373" s="116"/>
      <c r="Z373" s="116"/>
      <c r="AA373" s="116"/>
      <c r="AB373" s="116"/>
      <c r="AC373" s="116"/>
      <c r="AD373" s="116"/>
      <c r="AE373" s="116"/>
      <c r="AF373" s="116"/>
      <c r="AG373" s="116"/>
      <c r="AH373" s="1"/>
      <c r="AI373" s="46"/>
      <c r="AJ373" s="46"/>
      <c r="AK373" s="46"/>
      <c r="AL373" s="46"/>
      <c r="AM373" s="46"/>
      <c r="AN373" s="46"/>
      <c r="AO373" s="46"/>
      <c r="AP373" s="46"/>
      <c r="AQ373" s="1"/>
      <c r="AR373" s="15"/>
      <c r="AS373" s="15"/>
      <c r="AT373" s="15"/>
      <c r="AU373" s="15"/>
      <c r="AV373" s="15"/>
      <c r="AW373" s="15"/>
      <c r="AX373" s="15"/>
      <c r="AY373" s="15"/>
      <c r="AZ373" s="15"/>
      <c r="BA373" s="15"/>
      <c r="BB373" s="15"/>
      <c r="BC373" s="15"/>
      <c r="BD373" s="102"/>
      <c r="BE373" s="15"/>
      <c r="BF373" s="15"/>
      <c r="BG373" s="15"/>
      <c r="BH373" s="15"/>
      <c r="BI373" s="15"/>
      <c r="BJ373" s="15"/>
      <c r="BK373" s="15"/>
      <c r="BL373" s="15"/>
      <c r="BM373" s="15"/>
      <c r="BN373" s="15"/>
      <c r="BO373" s="15"/>
      <c r="BP373" s="15"/>
      <c r="BQ373" s="242"/>
      <c r="BR373" s="15"/>
      <c r="BS373" s="15"/>
      <c r="BT373" s="15"/>
      <c r="BU373" s="15"/>
      <c r="BV373" s="15"/>
      <c r="BW373" s="15"/>
      <c r="BX373" s="15"/>
      <c r="BY373" s="15"/>
      <c r="BZ373" s="15"/>
      <c r="CA373" s="15"/>
      <c r="CB373" s="15"/>
      <c r="CC373" s="15"/>
      <c r="CD373" s="15"/>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f t="shared" si="61"/>
        <v>0</v>
      </c>
      <c r="DE373" s="1"/>
      <c r="DF373" s="1"/>
      <c r="DG373" s="1"/>
      <c r="DH373" s="1"/>
      <c r="DI373" s="1"/>
      <c r="DJ373" s="1"/>
      <c r="DK373" s="1"/>
      <c r="DL373" s="1"/>
      <c r="DM373" s="1"/>
      <c r="DN373" s="1"/>
      <c r="DO373" s="1"/>
      <c r="DP373" s="1"/>
      <c r="DQ373" s="1"/>
    </row>
    <row r="374" spans="1:121" x14ac:dyDescent="0.2">
      <c r="A374" s="855"/>
      <c r="B374" s="775"/>
      <c r="C374" s="833"/>
      <c r="D374" s="1" t="s">
        <v>1803</v>
      </c>
      <c r="E374" s="1"/>
      <c r="F374" s="1"/>
      <c r="G374" s="775"/>
      <c r="H374" s="1"/>
      <c r="I374" s="1"/>
      <c r="J374" s="1"/>
      <c r="K374" s="1"/>
      <c r="L374" s="116"/>
      <c r="M374" s="116"/>
      <c r="N374" s="116"/>
      <c r="O374" s="116"/>
      <c r="P374" s="375"/>
      <c r="Q374" s="116"/>
      <c r="R374" s="116"/>
      <c r="S374" s="116"/>
      <c r="T374" s="116"/>
      <c r="U374" s="116"/>
      <c r="V374" s="116"/>
      <c r="W374" s="116"/>
      <c r="X374" s="116"/>
      <c r="Y374" s="116"/>
      <c r="Z374" s="116"/>
      <c r="AA374" s="116"/>
      <c r="AB374" s="116"/>
      <c r="AC374" s="116"/>
      <c r="AD374" s="116"/>
      <c r="AE374" s="116"/>
      <c r="AF374" s="116"/>
      <c r="AG374" s="116"/>
      <c r="AH374" s="1"/>
      <c r="AI374" s="46"/>
      <c r="AJ374" s="46"/>
      <c r="AK374" s="46"/>
      <c r="AL374" s="46"/>
      <c r="AM374" s="46"/>
      <c r="AN374" s="46"/>
      <c r="AO374" s="46"/>
      <c r="AP374" s="46"/>
      <c r="AQ374" s="1"/>
      <c r="AR374" s="15"/>
      <c r="AS374" s="15"/>
      <c r="AT374" s="15"/>
      <c r="AU374" s="15"/>
      <c r="AV374" s="15"/>
      <c r="AW374" s="15"/>
      <c r="AX374" s="15"/>
      <c r="AY374" s="15"/>
      <c r="AZ374" s="15"/>
      <c r="BA374" s="15"/>
      <c r="BB374" s="15"/>
      <c r="BC374" s="15"/>
      <c r="BD374" s="102"/>
      <c r="BE374" s="15"/>
      <c r="BF374" s="15"/>
      <c r="BG374" s="15"/>
      <c r="BH374" s="15"/>
      <c r="BI374" s="15"/>
      <c r="BJ374" s="15"/>
      <c r="BK374" s="15"/>
      <c r="BL374" s="15"/>
      <c r="BM374" s="15"/>
      <c r="BN374" s="15"/>
      <c r="BO374" s="15"/>
      <c r="BP374" s="15"/>
      <c r="BQ374" s="242"/>
      <c r="BR374" s="15"/>
      <c r="BS374" s="15"/>
      <c r="BT374" s="15"/>
      <c r="BU374" s="15"/>
      <c r="BV374" s="15"/>
      <c r="BW374" s="15"/>
      <c r="BX374" s="15"/>
      <c r="BY374" s="15"/>
      <c r="BZ374" s="15"/>
      <c r="CA374" s="15"/>
      <c r="CB374" s="15"/>
      <c r="CC374" s="15"/>
      <c r="CD374" s="15"/>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f t="shared" si="61"/>
        <v>0</v>
      </c>
      <c r="DE374" s="1"/>
      <c r="DF374" s="1"/>
      <c r="DG374" s="1"/>
      <c r="DH374" s="1"/>
      <c r="DI374" s="1"/>
      <c r="DJ374" s="1"/>
      <c r="DK374" s="1"/>
      <c r="DL374" s="1"/>
      <c r="DM374" s="1"/>
      <c r="DN374" s="1"/>
      <c r="DO374" s="1"/>
      <c r="DP374" s="1"/>
      <c r="DQ374" s="1"/>
    </row>
    <row r="375" spans="1:121" x14ac:dyDescent="0.2">
      <c r="A375" s="855"/>
      <c r="B375" s="775"/>
      <c r="C375" s="833"/>
      <c r="D375" s="1" t="s">
        <v>1804</v>
      </c>
      <c r="E375" s="1"/>
      <c r="F375" s="1"/>
      <c r="G375" s="775"/>
      <c r="H375" s="1"/>
      <c r="I375" s="1"/>
      <c r="J375" s="1"/>
      <c r="K375" s="1"/>
      <c r="L375" s="116"/>
      <c r="M375" s="116"/>
      <c r="N375" s="116"/>
      <c r="O375" s="116"/>
      <c r="P375" s="375"/>
      <c r="Q375" s="116"/>
      <c r="R375" s="116"/>
      <c r="S375" s="116"/>
      <c r="T375" s="116"/>
      <c r="U375" s="116"/>
      <c r="V375" s="116"/>
      <c r="W375" s="116"/>
      <c r="X375" s="116"/>
      <c r="Y375" s="116"/>
      <c r="Z375" s="116"/>
      <c r="AA375" s="116"/>
      <c r="AB375" s="116"/>
      <c r="AC375" s="116"/>
      <c r="AD375" s="116"/>
      <c r="AE375" s="116"/>
      <c r="AF375" s="116"/>
      <c r="AG375" s="116"/>
      <c r="AH375" s="1"/>
      <c r="AI375" s="46"/>
      <c r="AJ375" s="46"/>
      <c r="AK375" s="46"/>
      <c r="AL375" s="46"/>
      <c r="AM375" s="46"/>
      <c r="AN375" s="46"/>
      <c r="AO375" s="46"/>
      <c r="AP375" s="46"/>
      <c r="AQ375" s="1"/>
      <c r="AR375" s="15"/>
      <c r="AS375" s="15"/>
      <c r="AT375" s="15"/>
      <c r="AU375" s="15"/>
      <c r="AV375" s="15"/>
      <c r="AW375" s="15"/>
      <c r="AX375" s="15"/>
      <c r="AY375" s="15"/>
      <c r="AZ375" s="15"/>
      <c r="BA375" s="15"/>
      <c r="BB375" s="15"/>
      <c r="BC375" s="15"/>
      <c r="BD375" s="102"/>
      <c r="BE375" s="15"/>
      <c r="BF375" s="15"/>
      <c r="BG375" s="15"/>
      <c r="BH375" s="15"/>
      <c r="BI375" s="15"/>
      <c r="BJ375" s="15"/>
      <c r="BK375" s="15"/>
      <c r="BL375" s="15"/>
      <c r="BM375" s="15"/>
      <c r="BN375" s="15"/>
      <c r="BO375" s="15"/>
      <c r="BP375" s="15"/>
      <c r="BQ375" s="242"/>
      <c r="BR375" s="15"/>
      <c r="BS375" s="15"/>
      <c r="BT375" s="15"/>
      <c r="BU375" s="15"/>
      <c r="BV375" s="15"/>
      <c r="BW375" s="15"/>
      <c r="BX375" s="15"/>
      <c r="BY375" s="15"/>
      <c r="BZ375" s="15"/>
      <c r="CA375" s="15"/>
      <c r="CB375" s="15"/>
      <c r="CC375" s="15"/>
      <c r="CD375" s="15"/>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f t="shared" si="61"/>
        <v>0</v>
      </c>
      <c r="DE375" s="1"/>
      <c r="DF375" s="1"/>
      <c r="DG375" s="1"/>
      <c r="DH375" s="1"/>
      <c r="DI375" s="1"/>
      <c r="DJ375" s="1"/>
      <c r="DK375" s="1"/>
      <c r="DL375" s="1"/>
      <c r="DM375" s="1"/>
      <c r="DN375" s="1"/>
      <c r="DO375" s="1"/>
      <c r="DP375" s="1"/>
      <c r="DQ375" s="1"/>
    </row>
    <row r="376" spans="1:121" x14ac:dyDescent="0.2">
      <c r="A376" s="855"/>
      <c r="B376" s="775"/>
      <c r="C376" s="833"/>
      <c r="D376" s="1" t="s">
        <v>1805</v>
      </c>
      <c r="E376" s="1"/>
      <c r="F376" s="1"/>
      <c r="G376" s="775"/>
      <c r="H376" s="1"/>
      <c r="I376" s="1"/>
      <c r="J376" s="1"/>
      <c r="K376" s="1"/>
      <c r="L376" s="116"/>
      <c r="M376" s="116"/>
      <c r="N376" s="116"/>
      <c r="O376" s="116"/>
      <c r="P376" s="375"/>
      <c r="Q376" s="116"/>
      <c r="R376" s="116"/>
      <c r="S376" s="116"/>
      <c r="T376" s="116"/>
      <c r="U376" s="116"/>
      <c r="V376" s="116"/>
      <c r="W376" s="116"/>
      <c r="X376" s="116"/>
      <c r="Y376" s="116"/>
      <c r="Z376" s="116"/>
      <c r="AA376" s="116"/>
      <c r="AB376" s="116"/>
      <c r="AC376" s="116"/>
      <c r="AD376" s="116"/>
      <c r="AE376" s="116"/>
      <c r="AF376" s="116"/>
      <c r="AG376" s="116"/>
      <c r="AH376" s="1"/>
      <c r="AI376" s="46"/>
      <c r="AJ376" s="46"/>
      <c r="AK376" s="46"/>
      <c r="AL376" s="46"/>
      <c r="AM376" s="46"/>
      <c r="AN376" s="46"/>
      <c r="AO376" s="46"/>
      <c r="AP376" s="46"/>
      <c r="AQ376" s="1"/>
      <c r="AR376" s="15"/>
      <c r="AS376" s="15"/>
      <c r="AT376" s="15"/>
      <c r="AU376" s="15"/>
      <c r="AV376" s="15"/>
      <c r="AW376" s="15"/>
      <c r="AX376" s="15"/>
      <c r="AY376" s="15"/>
      <c r="AZ376" s="15"/>
      <c r="BA376" s="15"/>
      <c r="BB376" s="15"/>
      <c r="BC376" s="15"/>
      <c r="BD376" s="102"/>
      <c r="BE376" s="15"/>
      <c r="BF376" s="15"/>
      <c r="BG376" s="15"/>
      <c r="BH376" s="15"/>
      <c r="BI376" s="15"/>
      <c r="BJ376" s="15"/>
      <c r="BK376" s="15"/>
      <c r="BL376" s="15"/>
      <c r="BM376" s="15"/>
      <c r="BN376" s="15"/>
      <c r="BO376" s="15"/>
      <c r="BP376" s="15"/>
      <c r="BQ376" s="242"/>
      <c r="BR376" s="15"/>
      <c r="BS376" s="15"/>
      <c r="BT376" s="15"/>
      <c r="BU376" s="15"/>
      <c r="BV376" s="15"/>
      <c r="BW376" s="15"/>
      <c r="BX376" s="15"/>
      <c r="BY376" s="15"/>
      <c r="BZ376" s="15"/>
      <c r="CA376" s="15"/>
      <c r="CB376" s="15"/>
      <c r="CC376" s="15"/>
      <c r="CD376" s="15"/>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f t="shared" si="61"/>
        <v>0</v>
      </c>
      <c r="DE376" s="1"/>
      <c r="DF376" s="1"/>
      <c r="DG376" s="1"/>
      <c r="DH376" s="1"/>
      <c r="DI376" s="1"/>
      <c r="DJ376" s="1"/>
      <c r="DK376" s="1"/>
      <c r="DL376" s="1"/>
      <c r="DM376" s="1"/>
      <c r="DN376" s="1"/>
      <c r="DO376" s="1"/>
      <c r="DP376" s="1"/>
      <c r="DQ376" s="1"/>
    </row>
    <row r="377" spans="1:121" x14ac:dyDescent="0.2">
      <c r="A377" s="855"/>
      <c r="B377" s="775"/>
      <c r="C377" s="833"/>
      <c r="D377" s="1" t="s">
        <v>1806</v>
      </c>
      <c r="E377" s="1"/>
      <c r="F377" s="1"/>
      <c r="G377" s="775"/>
      <c r="H377" s="1"/>
      <c r="I377" s="1"/>
      <c r="J377" s="1"/>
      <c r="K377" s="1"/>
      <c r="L377" s="116"/>
      <c r="M377" s="116"/>
      <c r="N377" s="116"/>
      <c r="O377" s="116"/>
      <c r="P377" s="375"/>
      <c r="Q377" s="116"/>
      <c r="R377" s="116"/>
      <c r="S377" s="116"/>
      <c r="T377" s="116"/>
      <c r="U377" s="116"/>
      <c r="V377" s="116"/>
      <c r="W377" s="116"/>
      <c r="X377" s="116"/>
      <c r="Y377" s="116"/>
      <c r="Z377" s="116"/>
      <c r="AA377" s="116"/>
      <c r="AB377" s="116"/>
      <c r="AC377" s="116"/>
      <c r="AD377" s="116"/>
      <c r="AE377" s="116"/>
      <c r="AF377" s="116"/>
      <c r="AG377" s="116"/>
      <c r="AH377" s="1"/>
      <c r="AI377" s="46"/>
      <c r="AJ377" s="46"/>
      <c r="AK377" s="46"/>
      <c r="AL377" s="46"/>
      <c r="AM377" s="46"/>
      <c r="AN377" s="46"/>
      <c r="AO377" s="46"/>
      <c r="AP377" s="46"/>
      <c r="AQ377" s="1"/>
      <c r="AR377" s="15"/>
      <c r="AS377" s="15"/>
      <c r="AT377" s="15"/>
      <c r="AU377" s="15"/>
      <c r="AV377" s="15"/>
      <c r="AW377" s="15"/>
      <c r="AX377" s="15"/>
      <c r="AY377" s="15"/>
      <c r="AZ377" s="15"/>
      <c r="BA377" s="15"/>
      <c r="BB377" s="15"/>
      <c r="BC377" s="15"/>
      <c r="BD377" s="102"/>
      <c r="BE377" s="15"/>
      <c r="BF377" s="15"/>
      <c r="BG377" s="15"/>
      <c r="BH377" s="15"/>
      <c r="BI377" s="15"/>
      <c r="BJ377" s="15"/>
      <c r="BK377" s="15"/>
      <c r="BL377" s="15"/>
      <c r="BM377" s="15"/>
      <c r="BN377" s="15"/>
      <c r="BO377" s="15"/>
      <c r="BP377" s="15"/>
      <c r="BQ377" s="242"/>
      <c r="BR377" s="15"/>
      <c r="BS377" s="15"/>
      <c r="BT377" s="15"/>
      <c r="BU377" s="15"/>
      <c r="BV377" s="15"/>
      <c r="BW377" s="15"/>
      <c r="BX377" s="15"/>
      <c r="BY377" s="15"/>
      <c r="BZ377" s="15"/>
      <c r="CA377" s="15"/>
      <c r="CB377" s="15"/>
      <c r="CC377" s="15"/>
      <c r="CD377" s="15"/>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f t="shared" si="61"/>
        <v>0</v>
      </c>
      <c r="DE377" s="1"/>
      <c r="DF377" s="1"/>
      <c r="DG377" s="1"/>
      <c r="DH377" s="1"/>
      <c r="DI377" s="1"/>
      <c r="DJ377" s="1"/>
      <c r="DK377" s="1"/>
      <c r="DL377" s="1"/>
      <c r="DM377" s="1"/>
      <c r="DN377" s="1"/>
      <c r="DO377" s="1"/>
      <c r="DP377" s="1"/>
      <c r="DQ377" s="1"/>
    </row>
    <row r="378" spans="1:121" x14ac:dyDescent="0.2">
      <c r="A378" s="855"/>
      <c r="B378" s="775"/>
      <c r="C378" s="833"/>
      <c r="D378" s="1" t="s">
        <v>1807</v>
      </c>
      <c r="E378" s="1"/>
      <c r="F378" s="1"/>
      <c r="G378" s="775"/>
      <c r="H378" s="1"/>
      <c r="I378" s="1"/>
      <c r="J378" s="1"/>
      <c r="K378" s="1"/>
      <c r="L378" s="116"/>
      <c r="M378" s="116"/>
      <c r="N378" s="116"/>
      <c r="O378" s="116"/>
      <c r="P378" s="375"/>
      <c r="Q378" s="116"/>
      <c r="R378" s="116"/>
      <c r="S378" s="116"/>
      <c r="T378" s="116"/>
      <c r="U378" s="116"/>
      <c r="V378" s="116"/>
      <c r="W378" s="116"/>
      <c r="X378" s="116"/>
      <c r="Y378" s="116"/>
      <c r="Z378" s="116"/>
      <c r="AA378" s="116"/>
      <c r="AB378" s="116"/>
      <c r="AC378" s="116"/>
      <c r="AD378" s="116"/>
      <c r="AE378" s="116"/>
      <c r="AF378" s="116"/>
      <c r="AG378" s="116"/>
      <c r="AH378" s="1"/>
      <c r="AI378" s="46"/>
      <c r="AJ378" s="46"/>
      <c r="AK378" s="46"/>
      <c r="AL378" s="46"/>
      <c r="AM378" s="46"/>
      <c r="AN378" s="46"/>
      <c r="AO378" s="46"/>
      <c r="AP378" s="46"/>
      <c r="AQ378" s="1"/>
      <c r="AR378" s="15"/>
      <c r="AS378" s="15"/>
      <c r="AT378" s="15"/>
      <c r="AU378" s="15"/>
      <c r="AV378" s="15"/>
      <c r="AW378" s="15"/>
      <c r="AX378" s="15"/>
      <c r="AY378" s="15"/>
      <c r="AZ378" s="15"/>
      <c r="BA378" s="15"/>
      <c r="BB378" s="15"/>
      <c r="BC378" s="15"/>
      <c r="BD378" s="102"/>
      <c r="BE378" s="15"/>
      <c r="BF378" s="15"/>
      <c r="BG378" s="15"/>
      <c r="BH378" s="15"/>
      <c r="BI378" s="15"/>
      <c r="BJ378" s="15"/>
      <c r="BK378" s="15"/>
      <c r="BL378" s="15"/>
      <c r="BM378" s="15"/>
      <c r="BN378" s="15"/>
      <c r="BO378" s="15"/>
      <c r="BP378" s="15"/>
      <c r="BQ378" s="242"/>
      <c r="BR378" s="15"/>
      <c r="BS378" s="15"/>
      <c r="BT378" s="15"/>
      <c r="BU378" s="15"/>
      <c r="BV378" s="15"/>
      <c r="BW378" s="15"/>
      <c r="BX378" s="15"/>
      <c r="BY378" s="15"/>
      <c r="BZ378" s="15"/>
      <c r="CA378" s="15"/>
      <c r="CB378" s="15"/>
      <c r="CC378" s="15"/>
      <c r="CD378" s="15"/>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f t="shared" si="61"/>
        <v>0</v>
      </c>
      <c r="DE378" s="1"/>
      <c r="DF378" s="1"/>
      <c r="DG378" s="1"/>
      <c r="DH378" s="1"/>
      <c r="DI378" s="1"/>
      <c r="DJ378" s="1"/>
      <c r="DK378" s="1"/>
      <c r="DL378" s="1"/>
      <c r="DM378" s="1"/>
      <c r="DN378" s="1"/>
      <c r="DO378" s="1"/>
      <c r="DP378" s="1"/>
      <c r="DQ378" s="1"/>
    </row>
    <row r="379" spans="1:121" x14ac:dyDescent="0.2">
      <c r="A379" s="855"/>
      <c r="B379" s="775"/>
      <c r="C379" s="833"/>
      <c r="D379" s="1" t="s">
        <v>1808</v>
      </c>
      <c r="E379" s="1"/>
      <c r="F379" s="1"/>
      <c r="G379" s="775"/>
      <c r="H379" s="1"/>
      <c r="I379" s="1"/>
      <c r="J379" s="1"/>
      <c r="K379" s="1"/>
      <c r="L379" s="116"/>
      <c r="M379" s="116"/>
      <c r="N379" s="116"/>
      <c r="O379" s="116"/>
      <c r="P379" s="375"/>
      <c r="Q379" s="116"/>
      <c r="R379" s="116"/>
      <c r="S379" s="116"/>
      <c r="T379" s="116"/>
      <c r="U379" s="116"/>
      <c r="V379" s="116"/>
      <c r="W379" s="116"/>
      <c r="X379" s="116"/>
      <c r="Y379" s="116"/>
      <c r="Z379" s="116"/>
      <c r="AA379" s="116"/>
      <c r="AB379" s="116"/>
      <c r="AC379" s="116"/>
      <c r="AD379" s="116"/>
      <c r="AE379" s="116"/>
      <c r="AF379" s="116"/>
      <c r="AG379" s="116"/>
      <c r="AH379" s="1"/>
      <c r="AI379" s="46"/>
      <c r="AJ379" s="46"/>
      <c r="AK379" s="46"/>
      <c r="AL379" s="46"/>
      <c r="AM379" s="46"/>
      <c r="AN379" s="46"/>
      <c r="AO379" s="46"/>
      <c r="AP379" s="46"/>
      <c r="AQ379" s="1"/>
      <c r="AR379" s="15"/>
      <c r="AS379" s="15"/>
      <c r="AT379" s="15"/>
      <c r="AU379" s="15"/>
      <c r="AV379" s="15"/>
      <c r="AW379" s="15"/>
      <c r="AX379" s="15"/>
      <c r="AY379" s="15"/>
      <c r="AZ379" s="15"/>
      <c r="BA379" s="15"/>
      <c r="BB379" s="15"/>
      <c r="BC379" s="15"/>
      <c r="BD379" s="102"/>
      <c r="BE379" s="15"/>
      <c r="BF379" s="15"/>
      <c r="BG379" s="15"/>
      <c r="BH379" s="15"/>
      <c r="BI379" s="15"/>
      <c r="BJ379" s="15"/>
      <c r="BK379" s="15"/>
      <c r="BL379" s="15"/>
      <c r="BM379" s="15"/>
      <c r="BN379" s="15"/>
      <c r="BO379" s="15"/>
      <c r="BP379" s="15"/>
      <c r="BQ379" s="242"/>
      <c r="BR379" s="15"/>
      <c r="BS379" s="15"/>
      <c r="BT379" s="15"/>
      <c r="BU379" s="15"/>
      <c r="BV379" s="15"/>
      <c r="BW379" s="15"/>
      <c r="BX379" s="15"/>
      <c r="BY379" s="15"/>
      <c r="BZ379" s="15"/>
      <c r="CA379" s="15"/>
      <c r="CB379" s="15"/>
      <c r="CC379" s="15"/>
      <c r="CD379" s="15"/>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f t="shared" si="61"/>
        <v>0</v>
      </c>
      <c r="DE379" s="1"/>
      <c r="DF379" s="1"/>
      <c r="DG379" s="1"/>
      <c r="DH379" s="1"/>
      <c r="DI379" s="1"/>
      <c r="DJ379" s="1"/>
      <c r="DK379" s="1"/>
      <c r="DL379" s="1"/>
      <c r="DM379" s="1"/>
      <c r="DN379" s="1"/>
      <c r="DO379" s="1"/>
      <c r="DP379" s="1"/>
      <c r="DQ379" s="1"/>
    </row>
    <row r="380" spans="1:121" x14ac:dyDescent="0.2">
      <c r="A380" s="855"/>
      <c r="B380" s="775"/>
      <c r="C380" s="833"/>
      <c r="D380" s="1" t="s">
        <v>1809</v>
      </c>
      <c r="E380" s="1"/>
      <c r="F380" s="1"/>
      <c r="G380" s="775"/>
      <c r="H380" s="1"/>
      <c r="I380" s="1"/>
      <c r="J380" s="1"/>
      <c r="K380" s="1"/>
      <c r="L380" s="116"/>
      <c r="M380" s="116"/>
      <c r="N380" s="116"/>
      <c r="O380" s="116"/>
      <c r="P380" s="375"/>
      <c r="Q380" s="116"/>
      <c r="R380" s="116"/>
      <c r="S380" s="116"/>
      <c r="T380" s="116"/>
      <c r="U380" s="116"/>
      <c r="V380" s="116"/>
      <c r="W380" s="116"/>
      <c r="X380" s="116"/>
      <c r="Y380" s="116"/>
      <c r="Z380" s="116"/>
      <c r="AA380" s="116"/>
      <c r="AB380" s="116"/>
      <c r="AC380" s="116"/>
      <c r="AD380" s="116"/>
      <c r="AE380" s="116"/>
      <c r="AF380" s="116"/>
      <c r="AG380" s="116"/>
      <c r="AH380" s="1"/>
      <c r="AI380" s="46"/>
      <c r="AJ380" s="46"/>
      <c r="AK380" s="46"/>
      <c r="AL380" s="46"/>
      <c r="AM380" s="46"/>
      <c r="AN380" s="46"/>
      <c r="AO380" s="46"/>
      <c r="AP380" s="46"/>
      <c r="AQ380" s="1"/>
      <c r="AR380" s="15"/>
      <c r="AS380" s="15"/>
      <c r="AT380" s="15"/>
      <c r="AU380" s="15"/>
      <c r="AV380" s="15"/>
      <c r="AW380" s="15"/>
      <c r="AX380" s="15"/>
      <c r="AY380" s="15"/>
      <c r="AZ380" s="15"/>
      <c r="BA380" s="15"/>
      <c r="BB380" s="15"/>
      <c r="BC380" s="15"/>
      <c r="BD380" s="102"/>
      <c r="BE380" s="15"/>
      <c r="BF380" s="15"/>
      <c r="BG380" s="15"/>
      <c r="BH380" s="15"/>
      <c r="BI380" s="15"/>
      <c r="BJ380" s="15"/>
      <c r="BK380" s="15"/>
      <c r="BL380" s="15"/>
      <c r="BM380" s="15"/>
      <c r="BN380" s="15"/>
      <c r="BO380" s="15"/>
      <c r="BP380" s="15"/>
      <c r="BQ380" s="242"/>
      <c r="BR380" s="15"/>
      <c r="BS380" s="15"/>
      <c r="BT380" s="15"/>
      <c r="BU380" s="15"/>
      <c r="BV380" s="15"/>
      <c r="BW380" s="15"/>
      <c r="BX380" s="15"/>
      <c r="BY380" s="15"/>
      <c r="BZ380" s="15"/>
      <c r="CA380" s="15"/>
      <c r="CB380" s="15"/>
      <c r="CC380" s="15"/>
      <c r="CD380" s="15"/>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f t="shared" si="61"/>
        <v>0</v>
      </c>
      <c r="DE380" s="1"/>
      <c r="DF380" s="1"/>
      <c r="DG380" s="1"/>
      <c r="DH380" s="1"/>
      <c r="DI380" s="1"/>
      <c r="DJ380" s="1"/>
      <c r="DK380" s="1"/>
      <c r="DL380" s="1"/>
      <c r="DM380" s="1"/>
      <c r="DN380" s="1"/>
      <c r="DO380" s="1"/>
      <c r="DP380" s="1"/>
      <c r="DQ380" s="1"/>
    </row>
    <row r="381" spans="1:121" x14ac:dyDescent="0.2">
      <c r="A381" s="855"/>
      <c r="B381" s="775"/>
      <c r="C381" s="833"/>
      <c r="D381" s="1" t="s">
        <v>1810</v>
      </c>
      <c r="E381" s="1"/>
      <c r="F381" s="1"/>
      <c r="G381" s="775"/>
      <c r="H381" s="1"/>
      <c r="I381" s="1"/>
      <c r="J381" s="1"/>
      <c r="K381" s="1"/>
      <c r="L381" s="116"/>
      <c r="M381" s="116"/>
      <c r="N381" s="116"/>
      <c r="O381" s="116"/>
      <c r="P381" s="375"/>
      <c r="Q381" s="116"/>
      <c r="R381" s="116"/>
      <c r="S381" s="116"/>
      <c r="T381" s="116"/>
      <c r="U381" s="116"/>
      <c r="V381" s="116"/>
      <c r="W381" s="116"/>
      <c r="X381" s="116"/>
      <c r="Y381" s="116"/>
      <c r="Z381" s="116"/>
      <c r="AA381" s="116"/>
      <c r="AB381" s="116"/>
      <c r="AC381" s="116"/>
      <c r="AD381" s="116"/>
      <c r="AE381" s="116"/>
      <c r="AF381" s="116"/>
      <c r="AG381" s="116"/>
      <c r="AH381" s="1"/>
      <c r="AI381" s="46"/>
      <c r="AJ381" s="46"/>
      <c r="AK381" s="46"/>
      <c r="AL381" s="46"/>
      <c r="AM381" s="46"/>
      <c r="AN381" s="46"/>
      <c r="AO381" s="46"/>
      <c r="AP381" s="46"/>
      <c r="AQ381" s="1"/>
      <c r="AR381" s="15"/>
      <c r="AS381" s="15"/>
      <c r="AT381" s="15"/>
      <c r="AU381" s="15"/>
      <c r="AV381" s="15"/>
      <c r="AW381" s="15"/>
      <c r="AX381" s="15"/>
      <c r="AY381" s="15"/>
      <c r="AZ381" s="15"/>
      <c r="BA381" s="15"/>
      <c r="BB381" s="15"/>
      <c r="BC381" s="15"/>
      <c r="BD381" s="102"/>
      <c r="BE381" s="15"/>
      <c r="BF381" s="15"/>
      <c r="BG381" s="15"/>
      <c r="BH381" s="15"/>
      <c r="BI381" s="15"/>
      <c r="BJ381" s="15"/>
      <c r="BK381" s="15"/>
      <c r="BL381" s="15"/>
      <c r="BM381" s="15"/>
      <c r="BN381" s="15"/>
      <c r="BO381" s="15"/>
      <c r="BP381" s="15"/>
      <c r="BQ381" s="242"/>
      <c r="BR381" s="15"/>
      <c r="BS381" s="15"/>
      <c r="BT381" s="15"/>
      <c r="BU381" s="15"/>
      <c r="BV381" s="15"/>
      <c r="BW381" s="15"/>
      <c r="BX381" s="15"/>
      <c r="BY381" s="15"/>
      <c r="BZ381" s="15"/>
      <c r="CA381" s="15"/>
      <c r="CB381" s="15"/>
      <c r="CC381" s="15"/>
      <c r="CD381" s="15"/>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f t="shared" si="61"/>
        <v>0</v>
      </c>
      <c r="DE381" s="1"/>
      <c r="DF381" s="1"/>
      <c r="DG381" s="1"/>
      <c r="DH381" s="1"/>
      <c r="DI381" s="1"/>
      <c r="DJ381" s="1"/>
      <c r="DK381" s="1"/>
      <c r="DL381" s="1"/>
      <c r="DM381" s="1"/>
      <c r="DN381" s="1"/>
      <c r="DO381" s="1"/>
      <c r="DP381" s="1"/>
      <c r="DQ381" s="1"/>
    </row>
    <row r="382" spans="1:121" x14ac:dyDescent="0.2">
      <c r="A382" s="855"/>
      <c r="B382" s="775"/>
      <c r="C382" s="833"/>
      <c r="D382" s="1" t="s">
        <v>1811</v>
      </c>
      <c r="E382" s="1"/>
      <c r="F382" s="1"/>
      <c r="G382" s="775"/>
      <c r="H382" s="1"/>
      <c r="I382" s="1"/>
      <c r="J382" s="1"/>
      <c r="K382" s="1"/>
      <c r="L382" s="116"/>
      <c r="M382" s="116"/>
      <c r="N382" s="116"/>
      <c r="O382" s="116"/>
      <c r="P382" s="375"/>
      <c r="Q382" s="116"/>
      <c r="R382" s="116"/>
      <c r="S382" s="116"/>
      <c r="T382" s="116"/>
      <c r="U382" s="116"/>
      <c r="V382" s="116"/>
      <c r="W382" s="116"/>
      <c r="X382" s="116"/>
      <c r="Y382" s="116"/>
      <c r="Z382" s="116"/>
      <c r="AA382" s="116"/>
      <c r="AB382" s="116"/>
      <c r="AC382" s="116"/>
      <c r="AD382" s="116"/>
      <c r="AE382" s="116"/>
      <c r="AF382" s="116"/>
      <c r="AG382" s="116"/>
      <c r="AH382" s="1"/>
      <c r="AI382" s="46"/>
      <c r="AJ382" s="46"/>
      <c r="AK382" s="46"/>
      <c r="AL382" s="46"/>
      <c r="AM382" s="46"/>
      <c r="AN382" s="46"/>
      <c r="AO382" s="46"/>
      <c r="AP382" s="46"/>
      <c r="AQ382" s="1"/>
      <c r="AR382" s="15"/>
      <c r="AS382" s="15"/>
      <c r="AT382" s="15"/>
      <c r="AU382" s="15"/>
      <c r="AV382" s="15"/>
      <c r="AW382" s="15"/>
      <c r="AX382" s="15"/>
      <c r="AY382" s="15"/>
      <c r="AZ382" s="15"/>
      <c r="BA382" s="15"/>
      <c r="BB382" s="15"/>
      <c r="BC382" s="15"/>
      <c r="BD382" s="102"/>
      <c r="BE382" s="15"/>
      <c r="BF382" s="15"/>
      <c r="BG382" s="15"/>
      <c r="BH382" s="15"/>
      <c r="BI382" s="15"/>
      <c r="BJ382" s="15"/>
      <c r="BK382" s="15"/>
      <c r="BL382" s="15"/>
      <c r="BM382" s="15"/>
      <c r="BN382" s="15"/>
      <c r="BO382" s="15"/>
      <c r="BP382" s="15"/>
      <c r="BQ382" s="242"/>
      <c r="BR382" s="15"/>
      <c r="BS382" s="15"/>
      <c r="BT382" s="15"/>
      <c r="BU382" s="15"/>
      <c r="BV382" s="15"/>
      <c r="BW382" s="15"/>
      <c r="BX382" s="15"/>
      <c r="BY382" s="15"/>
      <c r="BZ382" s="15"/>
      <c r="CA382" s="15"/>
      <c r="CB382" s="15"/>
      <c r="CC382" s="15"/>
      <c r="CD382" s="15"/>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f t="shared" si="61"/>
        <v>0</v>
      </c>
      <c r="DE382" s="1"/>
      <c r="DF382" s="1"/>
      <c r="DG382" s="1"/>
      <c r="DH382" s="1"/>
      <c r="DI382" s="1"/>
      <c r="DJ382" s="1"/>
      <c r="DK382" s="1"/>
      <c r="DL382" s="1"/>
      <c r="DM382" s="1"/>
      <c r="DN382" s="1"/>
      <c r="DO382" s="1"/>
      <c r="DP382" s="1"/>
      <c r="DQ382" s="1"/>
    </row>
    <row r="383" spans="1:121" x14ac:dyDescent="0.2">
      <c r="A383" s="855"/>
      <c r="B383" s="775"/>
      <c r="C383" s="833"/>
      <c r="D383" s="1" t="s">
        <v>1529</v>
      </c>
      <c r="E383" s="1"/>
      <c r="F383" s="1"/>
      <c r="G383" s="775"/>
      <c r="H383" s="1"/>
      <c r="I383" s="1"/>
      <c r="J383" s="1"/>
      <c r="K383" s="1"/>
      <c r="L383" s="116"/>
      <c r="M383" s="116"/>
      <c r="N383" s="116"/>
      <c r="O383" s="116"/>
      <c r="P383" s="375"/>
      <c r="Q383" s="116"/>
      <c r="R383" s="116"/>
      <c r="S383" s="116"/>
      <c r="T383" s="116"/>
      <c r="U383" s="116"/>
      <c r="V383" s="116"/>
      <c r="W383" s="116"/>
      <c r="X383" s="116"/>
      <c r="Y383" s="116"/>
      <c r="Z383" s="116"/>
      <c r="AA383" s="116"/>
      <c r="AB383" s="116"/>
      <c r="AC383" s="116"/>
      <c r="AD383" s="116"/>
      <c r="AE383" s="116"/>
      <c r="AF383" s="116"/>
      <c r="AG383" s="116"/>
      <c r="AH383" s="1"/>
      <c r="AI383" s="46"/>
      <c r="AJ383" s="46"/>
      <c r="AK383" s="46"/>
      <c r="AL383" s="46"/>
      <c r="AM383" s="46"/>
      <c r="AN383" s="46"/>
      <c r="AO383" s="46"/>
      <c r="AP383" s="46"/>
      <c r="AQ383" s="1"/>
      <c r="AR383" s="15"/>
      <c r="AS383" s="15"/>
      <c r="AT383" s="15"/>
      <c r="AU383" s="15"/>
      <c r="AV383" s="15"/>
      <c r="AW383" s="15"/>
      <c r="AX383" s="15"/>
      <c r="AY383" s="15"/>
      <c r="AZ383" s="15"/>
      <c r="BA383" s="15"/>
      <c r="BB383" s="15"/>
      <c r="BC383" s="15"/>
      <c r="BD383" s="102"/>
      <c r="BE383" s="15"/>
      <c r="BF383" s="15"/>
      <c r="BG383" s="15"/>
      <c r="BH383" s="15"/>
      <c r="BI383" s="15"/>
      <c r="BJ383" s="15"/>
      <c r="BK383" s="15"/>
      <c r="BL383" s="15"/>
      <c r="BM383" s="15"/>
      <c r="BN383" s="15"/>
      <c r="BO383" s="15"/>
      <c r="BP383" s="15"/>
      <c r="BQ383" s="242"/>
      <c r="BR383" s="15"/>
      <c r="BS383" s="15"/>
      <c r="BT383" s="15"/>
      <c r="BU383" s="15"/>
      <c r="BV383" s="15"/>
      <c r="BW383" s="15"/>
      <c r="BX383" s="15"/>
      <c r="BY383" s="15"/>
      <c r="BZ383" s="15"/>
      <c r="CA383" s="15"/>
      <c r="CB383" s="15"/>
      <c r="CC383" s="15"/>
      <c r="CD383" s="15"/>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f t="shared" si="61"/>
        <v>0</v>
      </c>
      <c r="DE383" s="1"/>
      <c r="DF383" s="1"/>
      <c r="DG383" s="1"/>
      <c r="DH383" s="1"/>
      <c r="DI383" s="1"/>
      <c r="DJ383" s="1"/>
      <c r="DK383" s="1"/>
      <c r="DL383" s="1"/>
      <c r="DM383" s="1"/>
      <c r="DN383" s="1"/>
      <c r="DO383" s="1"/>
      <c r="DP383" s="1"/>
      <c r="DQ383" s="1"/>
    </row>
    <row r="384" spans="1:121" x14ac:dyDescent="0.2">
      <c r="A384" s="855"/>
      <c r="B384" s="775"/>
      <c r="C384" s="833"/>
      <c r="D384" s="1" t="s">
        <v>1812</v>
      </c>
      <c r="E384" s="1"/>
      <c r="F384" s="1"/>
      <c r="G384" s="775"/>
      <c r="H384" s="1"/>
      <c r="I384" s="1"/>
      <c r="J384" s="1"/>
      <c r="K384" s="1"/>
      <c r="L384" s="116"/>
      <c r="M384" s="116"/>
      <c r="N384" s="116"/>
      <c r="O384" s="116"/>
      <c r="P384" s="375"/>
      <c r="Q384" s="116"/>
      <c r="R384" s="116"/>
      <c r="S384" s="116"/>
      <c r="T384" s="116"/>
      <c r="U384" s="116"/>
      <c r="V384" s="116"/>
      <c r="W384" s="116"/>
      <c r="X384" s="116"/>
      <c r="Y384" s="116"/>
      <c r="Z384" s="116"/>
      <c r="AA384" s="116"/>
      <c r="AB384" s="116"/>
      <c r="AC384" s="116"/>
      <c r="AD384" s="116"/>
      <c r="AE384" s="116"/>
      <c r="AF384" s="116"/>
      <c r="AG384" s="116"/>
      <c r="AH384" s="1"/>
      <c r="AI384" s="46"/>
      <c r="AJ384" s="46"/>
      <c r="AK384" s="46"/>
      <c r="AL384" s="46"/>
      <c r="AM384" s="46"/>
      <c r="AN384" s="46"/>
      <c r="AO384" s="46"/>
      <c r="AP384" s="46"/>
      <c r="AQ384" s="1"/>
      <c r="AR384" s="15"/>
      <c r="AS384" s="15"/>
      <c r="AT384" s="15"/>
      <c r="AU384" s="15"/>
      <c r="AV384" s="15"/>
      <c r="AW384" s="15"/>
      <c r="AX384" s="15"/>
      <c r="AY384" s="15"/>
      <c r="AZ384" s="15"/>
      <c r="BA384" s="15"/>
      <c r="BB384" s="15"/>
      <c r="BC384" s="15"/>
      <c r="BD384" s="102"/>
      <c r="BE384" s="15"/>
      <c r="BF384" s="15"/>
      <c r="BG384" s="15"/>
      <c r="BH384" s="15"/>
      <c r="BI384" s="15"/>
      <c r="BJ384" s="15"/>
      <c r="BK384" s="15"/>
      <c r="BL384" s="15"/>
      <c r="BM384" s="15"/>
      <c r="BN384" s="15"/>
      <c r="BO384" s="15"/>
      <c r="BP384" s="15"/>
      <c r="BQ384" s="242"/>
      <c r="BR384" s="15"/>
      <c r="BS384" s="15"/>
      <c r="BT384" s="15"/>
      <c r="BU384" s="15"/>
      <c r="BV384" s="15"/>
      <c r="BW384" s="15"/>
      <c r="BX384" s="15"/>
      <c r="BY384" s="15"/>
      <c r="BZ384" s="15"/>
      <c r="CA384" s="15"/>
      <c r="CB384" s="15"/>
      <c r="CC384" s="15"/>
      <c r="CD384" s="15"/>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f t="shared" si="61"/>
        <v>0</v>
      </c>
      <c r="DE384" s="1"/>
      <c r="DF384" s="1"/>
      <c r="DG384" s="1"/>
      <c r="DH384" s="1"/>
      <c r="DI384" s="1"/>
      <c r="DJ384" s="1"/>
      <c r="DK384" s="1"/>
      <c r="DL384" s="1"/>
      <c r="DM384" s="1"/>
      <c r="DN384" s="1"/>
      <c r="DO384" s="1"/>
      <c r="DP384" s="1"/>
      <c r="DQ384" s="1"/>
    </row>
    <row r="385" spans="1:121" x14ac:dyDescent="0.2">
      <c r="A385" s="855"/>
      <c r="B385" s="775"/>
      <c r="C385" s="833"/>
      <c r="D385" s="1" t="s">
        <v>1813</v>
      </c>
      <c r="E385" s="1"/>
      <c r="F385" s="1"/>
      <c r="G385" s="775"/>
      <c r="H385" s="1"/>
      <c r="I385" s="1"/>
      <c r="J385" s="1"/>
      <c r="K385" s="1"/>
      <c r="L385" s="116"/>
      <c r="M385" s="116"/>
      <c r="N385" s="116"/>
      <c r="O385" s="116"/>
      <c r="P385" s="375"/>
      <c r="Q385" s="116"/>
      <c r="R385" s="116"/>
      <c r="S385" s="116"/>
      <c r="T385" s="116"/>
      <c r="U385" s="116"/>
      <c r="V385" s="116"/>
      <c r="W385" s="116"/>
      <c r="X385" s="116"/>
      <c r="Y385" s="116"/>
      <c r="Z385" s="116"/>
      <c r="AA385" s="116"/>
      <c r="AB385" s="116"/>
      <c r="AC385" s="116"/>
      <c r="AD385" s="116"/>
      <c r="AE385" s="116"/>
      <c r="AF385" s="116"/>
      <c r="AG385" s="116"/>
      <c r="AH385" s="1"/>
      <c r="AI385" s="46"/>
      <c r="AJ385" s="46"/>
      <c r="AK385" s="46"/>
      <c r="AL385" s="46"/>
      <c r="AM385" s="46"/>
      <c r="AN385" s="46"/>
      <c r="AO385" s="46"/>
      <c r="AP385" s="46"/>
      <c r="AQ385" s="1"/>
      <c r="AR385" s="15"/>
      <c r="AS385" s="15"/>
      <c r="AT385" s="15"/>
      <c r="AU385" s="15"/>
      <c r="AV385" s="15"/>
      <c r="AW385" s="15"/>
      <c r="AX385" s="15"/>
      <c r="AY385" s="15"/>
      <c r="AZ385" s="15"/>
      <c r="BA385" s="15"/>
      <c r="BB385" s="15"/>
      <c r="BC385" s="15"/>
      <c r="BD385" s="102"/>
      <c r="BE385" s="15"/>
      <c r="BF385" s="15"/>
      <c r="BG385" s="15"/>
      <c r="BH385" s="15"/>
      <c r="BI385" s="15"/>
      <c r="BJ385" s="15"/>
      <c r="BK385" s="15"/>
      <c r="BL385" s="15"/>
      <c r="BM385" s="15"/>
      <c r="BN385" s="15"/>
      <c r="BO385" s="15"/>
      <c r="BP385" s="15"/>
      <c r="BQ385" s="242"/>
      <c r="BR385" s="15"/>
      <c r="BS385" s="15"/>
      <c r="BT385" s="15"/>
      <c r="BU385" s="15"/>
      <c r="BV385" s="15"/>
      <c r="BW385" s="15"/>
      <c r="BX385" s="15"/>
      <c r="BY385" s="15"/>
      <c r="BZ385" s="15"/>
      <c r="CA385" s="15"/>
      <c r="CB385" s="15"/>
      <c r="CC385" s="15"/>
      <c r="CD385" s="15"/>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f t="shared" si="61"/>
        <v>0</v>
      </c>
      <c r="DE385" s="1"/>
      <c r="DF385" s="1"/>
      <c r="DG385" s="1"/>
      <c r="DH385" s="1"/>
      <c r="DI385" s="1"/>
      <c r="DJ385" s="1"/>
      <c r="DK385" s="1"/>
      <c r="DL385" s="1"/>
      <c r="DM385" s="1"/>
      <c r="DN385" s="1"/>
      <c r="DO385" s="1"/>
      <c r="DP385" s="1"/>
      <c r="DQ385" s="1"/>
    </row>
    <row r="386" spans="1:121" x14ac:dyDescent="0.2">
      <c r="A386" s="855"/>
      <c r="B386" s="775"/>
      <c r="C386" s="833"/>
      <c r="D386" s="1" t="s">
        <v>1814</v>
      </c>
      <c r="E386" s="1"/>
      <c r="F386" s="1"/>
      <c r="G386" s="775"/>
      <c r="H386" s="1"/>
      <c r="I386" s="1"/>
      <c r="J386" s="1"/>
      <c r="K386" s="1"/>
      <c r="L386" s="116"/>
      <c r="M386" s="116"/>
      <c r="N386" s="116"/>
      <c r="O386" s="116"/>
      <c r="P386" s="375"/>
      <c r="Q386" s="116"/>
      <c r="R386" s="116"/>
      <c r="S386" s="116"/>
      <c r="T386" s="116"/>
      <c r="U386" s="116"/>
      <c r="V386" s="116"/>
      <c r="W386" s="116"/>
      <c r="X386" s="116"/>
      <c r="Y386" s="116"/>
      <c r="Z386" s="116"/>
      <c r="AA386" s="116"/>
      <c r="AB386" s="116"/>
      <c r="AC386" s="116"/>
      <c r="AD386" s="116"/>
      <c r="AE386" s="116"/>
      <c r="AF386" s="116"/>
      <c r="AG386" s="116"/>
      <c r="AH386" s="1"/>
      <c r="AI386" s="46"/>
      <c r="AJ386" s="46"/>
      <c r="AK386" s="46"/>
      <c r="AL386" s="46"/>
      <c r="AM386" s="46"/>
      <c r="AN386" s="46"/>
      <c r="AO386" s="46"/>
      <c r="AP386" s="46"/>
      <c r="AQ386" s="1"/>
      <c r="AR386" s="15"/>
      <c r="AS386" s="15"/>
      <c r="AT386" s="15"/>
      <c r="AU386" s="15"/>
      <c r="AV386" s="15"/>
      <c r="AW386" s="15"/>
      <c r="AX386" s="15"/>
      <c r="AY386" s="15"/>
      <c r="AZ386" s="15"/>
      <c r="BA386" s="15"/>
      <c r="BB386" s="15"/>
      <c r="BC386" s="15"/>
      <c r="BD386" s="102"/>
      <c r="BE386" s="15"/>
      <c r="BF386" s="15"/>
      <c r="BG386" s="15"/>
      <c r="BH386" s="15"/>
      <c r="BI386" s="15"/>
      <c r="BJ386" s="15"/>
      <c r="BK386" s="15"/>
      <c r="BL386" s="15"/>
      <c r="BM386" s="15"/>
      <c r="BN386" s="15"/>
      <c r="BO386" s="15"/>
      <c r="BP386" s="15"/>
      <c r="BQ386" s="242"/>
      <c r="BR386" s="15"/>
      <c r="BS386" s="15"/>
      <c r="BT386" s="15"/>
      <c r="BU386" s="15"/>
      <c r="BV386" s="15"/>
      <c r="BW386" s="15"/>
      <c r="BX386" s="15"/>
      <c r="BY386" s="15"/>
      <c r="BZ386" s="15"/>
      <c r="CA386" s="15"/>
      <c r="CB386" s="15"/>
      <c r="CC386" s="15"/>
      <c r="CD386" s="15"/>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f t="shared" si="61"/>
        <v>0</v>
      </c>
      <c r="DE386" s="1"/>
      <c r="DF386" s="1"/>
      <c r="DG386" s="1"/>
      <c r="DH386" s="1"/>
      <c r="DI386" s="1"/>
      <c r="DJ386" s="1"/>
      <c r="DK386" s="1"/>
      <c r="DL386" s="1"/>
      <c r="DM386" s="1"/>
      <c r="DN386" s="1"/>
      <c r="DO386" s="1"/>
      <c r="DP386" s="1"/>
      <c r="DQ386" s="1"/>
    </row>
    <row r="387" spans="1:121" x14ac:dyDescent="0.2">
      <c r="A387" s="856"/>
      <c r="B387" s="775"/>
      <c r="C387" s="833"/>
      <c r="D387" s="1" t="s">
        <v>1537</v>
      </c>
      <c r="E387" s="1"/>
      <c r="F387" s="1"/>
      <c r="G387" s="775"/>
      <c r="H387" s="1"/>
      <c r="I387" s="1"/>
      <c r="J387" s="1"/>
      <c r="K387" s="1"/>
      <c r="L387" s="116"/>
      <c r="M387" s="116"/>
      <c r="N387" s="116"/>
      <c r="O387" s="116"/>
      <c r="P387" s="375"/>
      <c r="Q387" s="116"/>
      <c r="R387" s="116"/>
      <c r="S387" s="116"/>
      <c r="T387" s="116"/>
      <c r="U387" s="116"/>
      <c r="V387" s="116"/>
      <c r="W387" s="116"/>
      <c r="X387" s="116"/>
      <c r="Y387" s="116"/>
      <c r="Z387" s="116"/>
      <c r="AA387" s="116"/>
      <c r="AB387" s="116"/>
      <c r="AC387" s="116"/>
      <c r="AD387" s="116"/>
      <c r="AE387" s="116"/>
      <c r="AF387" s="116"/>
      <c r="AG387" s="116"/>
      <c r="AH387" s="1"/>
      <c r="AI387" s="46"/>
      <c r="AJ387" s="46"/>
      <c r="AK387" s="46"/>
      <c r="AL387" s="46"/>
      <c r="AM387" s="46"/>
      <c r="AN387" s="46"/>
      <c r="AO387" s="46"/>
      <c r="AP387" s="46"/>
      <c r="AQ387" s="1"/>
      <c r="AR387" s="15"/>
      <c r="AS387" s="15"/>
      <c r="AT387" s="15"/>
      <c r="AU387" s="15"/>
      <c r="AV387" s="15"/>
      <c r="AW387" s="15"/>
      <c r="AX387" s="15"/>
      <c r="AY387" s="15"/>
      <c r="AZ387" s="15"/>
      <c r="BA387" s="15"/>
      <c r="BB387" s="15"/>
      <c r="BC387" s="15"/>
      <c r="BD387" s="102"/>
      <c r="BE387" s="15"/>
      <c r="BF387" s="15"/>
      <c r="BG387" s="15"/>
      <c r="BH387" s="15"/>
      <c r="BI387" s="15"/>
      <c r="BJ387" s="15"/>
      <c r="BK387" s="15"/>
      <c r="BL387" s="15"/>
      <c r="BM387" s="15"/>
      <c r="BN387" s="15"/>
      <c r="BO387" s="15"/>
      <c r="BP387" s="15"/>
      <c r="BQ387" s="242"/>
      <c r="BR387" s="15"/>
      <c r="BS387" s="15"/>
      <c r="BT387" s="15"/>
      <c r="BU387" s="15"/>
      <c r="BV387" s="15"/>
      <c r="BW387" s="15"/>
      <c r="BX387" s="15"/>
      <c r="BY387" s="15"/>
      <c r="BZ387" s="15"/>
      <c r="CA387" s="15"/>
      <c r="CB387" s="15"/>
      <c r="CC387" s="15"/>
      <c r="CD387" s="15"/>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f t="shared" si="61"/>
        <v>0</v>
      </c>
      <c r="DE387" s="1"/>
      <c r="DF387" s="1"/>
      <c r="DG387" s="1"/>
      <c r="DH387" s="1"/>
      <c r="DI387" s="1"/>
      <c r="DJ387" s="1"/>
      <c r="DK387" s="1"/>
      <c r="DL387" s="1"/>
      <c r="DM387" s="1"/>
      <c r="DN387" s="1"/>
      <c r="DO387" s="1"/>
      <c r="DP387" s="1"/>
      <c r="DQ387" s="1"/>
    </row>
    <row r="388" spans="1:121" x14ac:dyDescent="0.2">
      <c r="A388" s="854" t="s">
        <v>1866</v>
      </c>
      <c r="B388" s="775" t="s">
        <v>107</v>
      </c>
      <c r="C388" s="832" t="s">
        <v>1646</v>
      </c>
      <c r="D388" s="1" t="s">
        <v>1815</v>
      </c>
      <c r="E388" s="17"/>
      <c r="F388" s="17"/>
      <c r="G388" s="775" t="s">
        <v>49</v>
      </c>
      <c r="H388" s="775" t="s">
        <v>362</v>
      </c>
      <c r="I388" s="775" t="s">
        <v>61</v>
      </c>
      <c r="J388" s="857">
        <v>45246</v>
      </c>
      <c r="K388" s="857">
        <v>46342</v>
      </c>
      <c r="L388" s="116"/>
      <c r="M388" s="116"/>
      <c r="N388" s="116"/>
      <c r="O388" s="116"/>
      <c r="P388" s="375"/>
      <c r="Q388" s="116"/>
      <c r="R388" s="116"/>
      <c r="S388" s="116"/>
      <c r="T388" s="116"/>
      <c r="U388" s="116"/>
      <c r="V388" s="116"/>
      <c r="W388" s="116"/>
      <c r="X388" s="116"/>
      <c r="Y388" s="116"/>
      <c r="Z388" s="116"/>
      <c r="AA388" s="116"/>
      <c r="AB388" s="116"/>
      <c r="AC388" s="116"/>
      <c r="AD388" s="116"/>
      <c r="AE388" s="116"/>
      <c r="AF388" s="116"/>
      <c r="AG388" s="116"/>
      <c r="AH388" s="1"/>
      <c r="AI388" s="46"/>
      <c r="AJ388" s="46"/>
      <c r="AK388" s="46"/>
      <c r="AL388" s="46"/>
      <c r="AM388" s="46"/>
      <c r="AN388" s="46"/>
      <c r="AO388" s="46"/>
      <c r="AP388" s="46"/>
      <c r="AQ388" s="1"/>
      <c r="AR388" s="15"/>
      <c r="AS388" s="15"/>
      <c r="AT388" s="15"/>
      <c r="AU388" s="15"/>
      <c r="AV388" s="15"/>
      <c r="AW388" s="15"/>
      <c r="AX388" s="15"/>
      <c r="AY388" s="15"/>
      <c r="AZ388" s="15"/>
      <c r="BA388" s="15"/>
      <c r="BB388" s="15"/>
      <c r="BC388" s="15"/>
      <c r="BD388" s="102"/>
      <c r="BE388" s="15"/>
      <c r="BF388" s="15"/>
      <c r="BG388" s="15"/>
      <c r="BH388" s="15"/>
      <c r="BI388" s="15"/>
      <c r="BJ388" s="15"/>
      <c r="BK388" s="15"/>
      <c r="BL388" s="15"/>
      <c r="BM388" s="15"/>
      <c r="BN388" s="15"/>
      <c r="BO388" s="15"/>
      <c r="BP388" s="15"/>
      <c r="BQ388" s="242"/>
      <c r="BR388" s="15"/>
      <c r="BS388" s="15"/>
      <c r="BT388" s="15"/>
      <c r="BU388" s="15"/>
      <c r="BV388" s="15"/>
      <c r="BW388" s="15"/>
      <c r="BX388" s="15"/>
      <c r="BY388" s="15"/>
      <c r="BZ388" s="15"/>
      <c r="CA388" s="15"/>
      <c r="CB388" s="15"/>
      <c r="CC388" s="15"/>
      <c r="CD388" s="15"/>
      <c r="CE388" s="1"/>
      <c r="CF388" s="1"/>
      <c r="CG388" s="1"/>
      <c r="CH388" s="1"/>
      <c r="CI388" s="1"/>
      <c r="CJ388" s="1"/>
      <c r="CK388" s="1"/>
      <c r="CL388" s="1"/>
      <c r="CM388" s="1"/>
      <c r="CN388" s="1"/>
      <c r="CO388" s="1"/>
      <c r="CP388" s="1"/>
      <c r="CQ388" s="1"/>
      <c r="CR388" s="1"/>
      <c r="CS388" s="1"/>
      <c r="CT388" s="1"/>
      <c r="CU388" s="1">
        <v>11385</v>
      </c>
      <c r="CV388" s="1">
        <v>6900</v>
      </c>
      <c r="CW388" s="1"/>
      <c r="CX388" s="1">
        <v>66585</v>
      </c>
      <c r="CY388" s="1"/>
      <c r="CZ388" s="1"/>
      <c r="DA388" s="1"/>
      <c r="DB388" s="1"/>
      <c r="DC388" s="1"/>
      <c r="DD388" s="1">
        <f t="shared" si="61"/>
        <v>84870</v>
      </c>
      <c r="DE388" s="1"/>
      <c r="DF388" s="1"/>
      <c r="DG388" s="1"/>
      <c r="DH388" s="1"/>
      <c r="DI388" s="1"/>
      <c r="DJ388" s="1"/>
      <c r="DK388" s="1"/>
      <c r="DL388" s="1"/>
      <c r="DM388" s="1"/>
      <c r="DN388" s="1"/>
      <c r="DO388" s="1"/>
      <c r="DP388" s="1"/>
      <c r="DQ388" s="1"/>
    </row>
    <row r="389" spans="1:121" x14ac:dyDescent="0.2">
      <c r="A389" s="855"/>
      <c r="B389" s="775"/>
      <c r="C389" s="832"/>
      <c r="D389" s="1" t="s">
        <v>1816</v>
      </c>
      <c r="E389" s="17"/>
      <c r="F389" s="17"/>
      <c r="G389" s="775"/>
      <c r="H389" s="775"/>
      <c r="I389" s="775"/>
      <c r="J389" s="857"/>
      <c r="K389" s="857"/>
      <c r="L389" s="116"/>
      <c r="M389" s="116"/>
      <c r="N389" s="116"/>
      <c r="O389" s="116"/>
      <c r="P389" s="375"/>
      <c r="Q389" s="116"/>
      <c r="R389" s="116"/>
      <c r="S389" s="116"/>
      <c r="T389" s="116"/>
      <c r="U389" s="116"/>
      <c r="V389" s="116"/>
      <c r="W389" s="116"/>
      <c r="X389" s="116"/>
      <c r="Y389" s="116"/>
      <c r="Z389" s="116"/>
      <c r="AA389" s="116"/>
      <c r="AB389" s="116"/>
      <c r="AC389" s="116"/>
      <c r="AD389" s="116"/>
      <c r="AE389" s="116"/>
      <c r="AF389" s="116"/>
      <c r="AG389" s="116"/>
      <c r="AH389" s="1"/>
      <c r="AI389" s="46"/>
      <c r="AJ389" s="46"/>
      <c r="AK389" s="46"/>
      <c r="AL389" s="46"/>
      <c r="AM389" s="46"/>
      <c r="AN389" s="46"/>
      <c r="AO389" s="46"/>
      <c r="AP389" s="46"/>
      <c r="AQ389" s="1"/>
      <c r="AR389" s="15"/>
      <c r="AS389" s="15"/>
      <c r="AT389" s="15"/>
      <c r="AU389" s="15"/>
      <c r="AV389" s="15"/>
      <c r="AW389" s="15"/>
      <c r="AX389" s="15"/>
      <c r="AY389" s="15"/>
      <c r="AZ389" s="15"/>
      <c r="BA389" s="15"/>
      <c r="BB389" s="15"/>
      <c r="BC389" s="15"/>
      <c r="BD389" s="102"/>
      <c r="BE389" s="15"/>
      <c r="BF389" s="15"/>
      <c r="BG389" s="15"/>
      <c r="BH389" s="15"/>
      <c r="BI389" s="15"/>
      <c r="BJ389" s="15"/>
      <c r="BK389" s="15"/>
      <c r="BL389" s="15"/>
      <c r="BM389" s="15"/>
      <c r="BN389" s="15"/>
      <c r="BO389" s="15"/>
      <c r="BP389" s="15"/>
      <c r="BQ389" s="242"/>
      <c r="BR389" s="15"/>
      <c r="BS389" s="15"/>
      <c r="BT389" s="15"/>
      <c r="BU389" s="15"/>
      <c r="BV389" s="15"/>
      <c r="BW389" s="15"/>
      <c r="BX389" s="15"/>
      <c r="BY389" s="15"/>
      <c r="BZ389" s="15"/>
      <c r="CA389" s="15"/>
      <c r="CB389" s="15"/>
      <c r="CC389" s="15"/>
      <c r="CD389" s="15"/>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f t="shared" si="61"/>
        <v>0</v>
      </c>
      <c r="DE389" s="1"/>
      <c r="DF389" s="1"/>
      <c r="DG389" s="1"/>
      <c r="DH389" s="1"/>
      <c r="DI389" s="1"/>
      <c r="DJ389" s="1"/>
      <c r="DK389" s="1"/>
      <c r="DL389" s="1"/>
      <c r="DM389" s="1"/>
      <c r="DN389" s="1"/>
      <c r="DO389" s="1"/>
      <c r="DP389" s="1"/>
      <c r="DQ389" s="1"/>
    </row>
    <row r="390" spans="1:121" x14ac:dyDescent="0.2">
      <c r="A390" s="855"/>
      <c r="B390" s="775"/>
      <c r="C390" s="832"/>
      <c r="D390" s="1" t="s">
        <v>482</v>
      </c>
      <c r="E390" s="17"/>
      <c r="F390" s="17"/>
      <c r="G390" s="775"/>
      <c r="H390" s="775"/>
      <c r="I390" s="775"/>
      <c r="J390" s="857"/>
      <c r="K390" s="857"/>
      <c r="L390" s="116"/>
      <c r="M390" s="116"/>
      <c r="N390" s="116"/>
      <c r="O390" s="116"/>
      <c r="P390" s="375"/>
      <c r="Q390" s="116"/>
      <c r="R390" s="116"/>
      <c r="S390" s="116"/>
      <c r="T390" s="116"/>
      <c r="U390" s="116"/>
      <c r="V390" s="116"/>
      <c r="W390" s="116"/>
      <c r="X390" s="116"/>
      <c r="Y390" s="116"/>
      <c r="Z390" s="116"/>
      <c r="AA390" s="116"/>
      <c r="AB390" s="116"/>
      <c r="AC390" s="116"/>
      <c r="AD390" s="116"/>
      <c r="AE390" s="116"/>
      <c r="AF390" s="116"/>
      <c r="AG390" s="116"/>
      <c r="AH390" s="1"/>
      <c r="AI390" s="46"/>
      <c r="AJ390" s="46"/>
      <c r="AK390" s="46"/>
      <c r="AL390" s="46"/>
      <c r="AM390" s="46"/>
      <c r="AN390" s="46"/>
      <c r="AO390" s="46"/>
      <c r="AP390" s="46"/>
      <c r="AQ390" s="1"/>
      <c r="AR390" s="15"/>
      <c r="AS390" s="15"/>
      <c r="AT390" s="15"/>
      <c r="AU390" s="15"/>
      <c r="AV390" s="15"/>
      <c r="AW390" s="15"/>
      <c r="AX390" s="15"/>
      <c r="AY390" s="15"/>
      <c r="AZ390" s="15"/>
      <c r="BA390" s="15"/>
      <c r="BB390" s="15"/>
      <c r="BC390" s="15"/>
      <c r="BD390" s="102"/>
      <c r="BE390" s="15"/>
      <c r="BF390" s="15"/>
      <c r="BG390" s="15"/>
      <c r="BH390" s="15"/>
      <c r="BI390" s="15"/>
      <c r="BJ390" s="15"/>
      <c r="BK390" s="15"/>
      <c r="BL390" s="15"/>
      <c r="BM390" s="15"/>
      <c r="BN390" s="15"/>
      <c r="BO390" s="15"/>
      <c r="BP390" s="15"/>
      <c r="BQ390" s="242"/>
      <c r="BR390" s="15"/>
      <c r="BS390" s="15"/>
      <c r="BT390" s="15"/>
      <c r="BU390" s="15"/>
      <c r="BV390" s="15"/>
      <c r="BW390" s="15"/>
      <c r="BX390" s="15"/>
      <c r="BY390" s="15"/>
      <c r="BZ390" s="15"/>
      <c r="CA390" s="15"/>
      <c r="CB390" s="15"/>
      <c r="CC390" s="15"/>
      <c r="CD390" s="15"/>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f t="shared" si="61"/>
        <v>0</v>
      </c>
      <c r="DE390" s="1"/>
      <c r="DF390" s="1"/>
      <c r="DG390" s="1"/>
      <c r="DH390" s="1"/>
      <c r="DI390" s="1"/>
      <c r="DJ390" s="1"/>
      <c r="DK390" s="1"/>
      <c r="DL390" s="1"/>
      <c r="DM390" s="1"/>
      <c r="DN390" s="1"/>
      <c r="DO390" s="1"/>
      <c r="DP390" s="1"/>
      <c r="DQ390" s="1"/>
    </row>
    <row r="391" spans="1:121" x14ac:dyDescent="0.2">
      <c r="A391" s="855"/>
      <c r="B391" s="775"/>
      <c r="C391" s="832"/>
      <c r="D391" s="1" t="s">
        <v>1817</v>
      </c>
      <c r="E391" s="17"/>
      <c r="F391" s="17"/>
      <c r="G391" s="775"/>
      <c r="H391" s="775"/>
      <c r="I391" s="775"/>
      <c r="J391" s="857"/>
      <c r="K391" s="857"/>
      <c r="L391" s="116"/>
      <c r="M391" s="116"/>
      <c r="N391" s="116"/>
      <c r="O391" s="116"/>
      <c r="P391" s="375"/>
      <c r="Q391" s="116"/>
      <c r="R391" s="116"/>
      <c r="S391" s="116"/>
      <c r="T391" s="116"/>
      <c r="U391" s="116"/>
      <c r="V391" s="116"/>
      <c r="W391" s="116"/>
      <c r="X391" s="116"/>
      <c r="Y391" s="116"/>
      <c r="Z391" s="116"/>
      <c r="AA391" s="116"/>
      <c r="AB391" s="116"/>
      <c r="AC391" s="116"/>
      <c r="AD391" s="116"/>
      <c r="AE391" s="116"/>
      <c r="AF391" s="116"/>
      <c r="AG391" s="116"/>
      <c r="AH391" s="1"/>
      <c r="AI391" s="46"/>
      <c r="AJ391" s="46"/>
      <c r="AK391" s="46"/>
      <c r="AL391" s="46"/>
      <c r="AM391" s="46"/>
      <c r="AN391" s="46"/>
      <c r="AO391" s="46"/>
      <c r="AP391" s="46"/>
      <c r="AQ391" s="1"/>
      <c r="AR391" s="15"/>
      <c r="AS391" s="15"/>
      <c r="AT391" s="15"/>
      <c r="AU391" s="15"/>
      <c r="AV391" s="15"/>
      <c r="AW391" s="15"/>
      <c r="AX391" s="15"/>
      <c r="AY391" s="15"/>
      <c r="AZ391" s="15"/>
      <c r="BA391" s="15"/>
      <c r="BB391" s="15"/>
      <c r="BC391" s="15"/>
      <c r="BD391" s="102"/>
      <c r="BE391" s="15"/>
      <c r="BF391" s="15"/>
      <c r="BG391" s="15"/>
      <c r="BH391" s="15"/>
      <c r="BI391" s="15"/>
      <c r="BJ391" s="15"/>
      <c r="BK391" s="15"/>
      <c r="BL391" s="15"/>
      <c r="BM391" s="15"/>
      <c r="BN391" s="15"/>
      <c r="BO391" s="15"/>
      <c r="BP391" s="15"/>
      <c r="BQ391" s="242"/>
      <c r="BR391" s="15"/>
      <c r="BS391" s="15"/>
      <c r="BT391" s="15"/>
      <c r="BU391" s="15"/>
      <c r="BV391" s="15"/>
      <c r="BW391" s="15"/>
      <c r="BX391" s="15"/>
      <c r="BY391" s="15"/>
      <c r="BZ391" s="15"/>
      <c r="CA391" s="15"/>
      <c r="CB391" s="15"/>
      <c r="CC391" s="15"/>
      <c r="CD391" s="15"/>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f t="shared" si="61"/>
        <v>0</v>
      </c>
      <c r="DE391" s="1"/>
      <c r="DF391" s="1"/>
      <c r="DG391" s="1"/>
      <c r="DH391" s="1"/>
      <c r="DI391" s="1"/>
      <c r="DJ391" s="1"/>
      <c r="DK391" s="1"/>
      <c r="DL391" s="1"/>
      <c r="DM391" s="1"/>
      <c r="DN391" s="1"/>
      <c r="DO391" s="1"/>
      <c r="DP391" s="1"/>
      <c r="DQ391" s="1"/>
    </row>
    <row r="392" spans="1:121" x14ac:dyDescent="0.2">
      <c r="A392" s="855"/>
      <c r="B392" s="775"/>
      <c r="C392" s="832"/>
      <c r="D392" s="1" t="s">
        <v>1818</v>
      </c>
      <c r="E392" s="1"/>
      <c r="F392" s="1"/>
      <c r="G392" s="775"/>
      <c r="H392" s="775"/>
      <c r="I392" s="775"/>
      <c r="J392" s="857"/>
      <c r="K392" s="857"/>
      <c r="L392" s="116"/>
      <c r="M392" s="116"/>
      <c r="N392" s="116"/>
      <c r="O392" s="116"/>
      <c r="P392" s="375"/>
      <c r="Q392" s="116"/>
      <c r="R392" s="116"/>
      <c r="S392" s="116"/>
      <c r="T392" s="116"/>
      <c r="U392" s="116"/>
      <c r="V392" s="116"/>
      <c r="W392" s="116"/>
      <c r="X392" s="116"/>
      <c r="Y392" s="116"/>
      <c r="Z392" s="116"/>
      <c r="AA392" s="116"/>
      <c r="AB392" s="116"/>
      <c r="AC392" s="116"/>
      <c r="AD392" s="116"/>
      <c r="AE392" s="116"/>
      <c r="AF392" s="116"/>
      <c r="AG392" s="116"/>
      <c r="AH392" s="1"/>
      <c r="AI392" s="46"/>
      <c r="AJ392" s="46"/>
      <c r="AK392" s="46"/>
      <c r="AL392" s="46"/>
      <c r="AM392" s="46"/>
      <c r="AN392" s="46"/>
      <c r="AO392" s="46"/>
      <c r="AP392" s="46"/>
      <c r="AQ392" s="1"/>
      <c r="AR392" s="15"/>
      <c r="AS392" s="15"/>
      <c r="AT392" s="15"/>
      <c r="AU392" s="15"/>
      <c r="AV392" s="15"/>
      <c r="AW392" s="15"/>
      <c r="AX392" s="15"/>
      <c r="AY392" s="15"/>
      <c r="AZ392" s="15"/>
      <c r="BA392" s="15"/>
      <c r="BB392" s="15"/>
      <c r="BC392" s="15"/>
      <c r="BD392" s="102"/>
      <c r="BE392" s="15"/>
      <c r="BF392" s="15"/>
      <c r="BG392" s="15"/>
      <c r="BH392" s="15"/>
      <c r="BI392" s="15"/>
      <c r="BJ392" s="15"/>
      <c r="BK392" s="15"/>
      <c r="BL392" s="15"/>
      <c r="BM392" s="15"/>
      <c r="BN392" s="15"/>
      <c r="BO392" s="15"/>
      <c r="BP392" s="15"/>
      <c r="BQ392" s="242"/>
      <c r="BR392" s="15"/>
      <c r="BS392" s="15"/>
      <c r="BT392" s="15"/>
      <c r="BU392" s="15"/>
      <c r="BV392" s="15"/>
      <c r="BW392" s="15"/>
      <c r="BX392" s="15"/>
      <c r="BY392" s="15"/>
      <c r="BZ392" s="15"/>
      <c r="CA392" s="15"/>
      <c r="CB392" s="15"/>
      <c r="CC392" s="15"/>
      <c r="CD392" s="15"/>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f t="shared" si="61"/>
        <v>0</v>
      </c>
      <c r="DE392" s="1"/>
      <c r="DF392" s="1"/>
      <c r="DG392" s="1"/>
      <c r="DH392" s="1"/>
      <c r="DI392" s="1"/>
      <c r="DJ392" s="1"/>
      <c r="DK392" s="1"/>
      <c r="DL392" s="1"/>
      <c r="DM392" s="1"/>
      <c r="DN392" s="1"/>
      <c r="DO392" s="1"/>
      <c r="DP392" s="1"/>
      <c r="DQ392" s="1"/>
    </row>
    <row r="393" spans="1:121" x14ac:dyDescent="0.2">
      <c r="A393" s="855"/>
      <c r="B393" s="775"/>
      <c r="C393" s="832"/>
      <c r="D393" s="1" t="s">
        <v>1819</v>
      </c>
      <c r="E393" s="17"/>
      <c r="F393" s="17"/>
      <c r="G393" s="775"/>
      <c r="H393" s="775"/>
      <c r="I393" s="775"/>
      <c r="J393" s="857"/>
      <c r="K393" s="857"/>
      <c r="L393" s="116"/>
      <c r="M393" s="116"/>
      <c r="N393" s="116"/>
      <c r="O393" s="116"/>
      <c r="P393" s="375"/>
      <c r="Q393" s="116"/>
      <c r="R393" s="116"/>
      <c r="S393" s="116"/>
      <c r="T393" s="116"/>
      <c r="U393" s="116"/>
      <c r="V393" s="116"/>
      <c r="W393" s="116"/>
      <c r="X393" s="116"/>
      <c r="Y393" s="116"/>
      <c r="Z393" s="116"/>
      <c r="AA393" s="116"/>
      <c r="AB393" s="116"/>
      <c r="AC393" s="116"/>
      <c r="AD393" s="116"/>
      <c r="AE393" s="116"/>
      <c r="AF393" s="116"/>
      <c r="AG393" s="116"/>
      <c r="AH393" s="1"/>
      <c r="AI393" s="46"/>
      <c r="AJ393" s="46"/>
      <c r="AK393" s="46"/>
      <c r="AL393" s="46"/>
      <c r="AM393" s="46"/>
      <c r="AN393" s="46"/>
      <c r="AO393" s="46"/>
      <c r="AP393" s="46"/>
      <c r="AQ393" s="1"/>
      <c r="AR393" s="15"/>
      <c r="AS393" s="15"/>
      <c r="AT393" s="15"/>
      <c r="AU393" s="15"/>
      <c r="AV393" s="15"/>
      <c r="AW393" s="15"/>
      <c r="AX393" s="15"/>
      <c r="AY393" s="15"/>
      <c r="AZ393" s="15"/>
      <c r="BA393" s="15"/>
      <c r="BB393" s="15"/>
      <c r="BC393" s="15"/>
      <c r="BD393" s="102"/>
      <c r="BE393" s="15"/>
      <c r="BF393" s="15"/>
      <c r="BG393" s="15"/>
      <c r="BH393" s="15"/>
      <c r="BI393" s="15"/>
      <c r="BJ393" s="15"/>
      <c r="BK393" s="15"/>
      <c r="BL393" s="15"/>
      <c r="BM393" s="15"/>
      <c r="BN393" s="15"/>
      <c r="BO393" s="15"/>
      <c r="BP393" s="15"/>
      <c r="BQ393" s="242"/>
      <c r="BR393" s="15"/>
      <c r="BS393" s="15"/>
      <c r="BT393" s="15"/>
      <c r="BU393" s="15"/>
      <c r="BV393" s="15"/>
      <c r="BW393" s="15"/>
      <c r="BX393" s="15"/>
      <c r="BY393" s="15"/>
      <c r="BZ393" s="15"/>
      <c r="CA393" s="15"/>
      <c r="CB393" s="15"/>
      <c r="CC393" s="15"/>
      <c r="CD393" s="15"/>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f t="shared" si="61"/>
        <v>0</v>
      </c>
      <c r="DE393" s="1"/>
      <c r="DF393" s="1"/>
      <c r="DG393" s="1"/>
      <c r="DH393" s="1"/>
      <c r="DI393" s="1"/>
      <c r="DJ393" s="1"/>
      <c r="DK393" s="1"/>
      <c r="DL393" s="1"/>
      <c r="DM393" s="1"/>
      <c r="DN393" s="1"/>
      <c r="DO393" s="1"/>
      <c r="DP393" s="1"/>
      <c r="DQ393" s="1"/>
    </row>
    <row r="394" spans="1:121" x14ac:dyDescent="0.2">
      <c r="A394" s="855"/>
      <c r="B394" s="775"/>
      <c r="C394" s="832"/>
      <c r="D394" s="1" t="s">
        <v>1820</v>
      </c>
      <c r="E394" s="1"/>
      <c r="F394" s="1"/>
      <c r="G394" s="775"/>
      <c r="H394" s="775"/>
      <c r="I394" s="775"/>
      <c r="J394" s="857"/>
      <c r="K394" s="857"/>
      <c r="L394" s="116"/>
      <c r="M394" s="116"/>
      <c r="N394" s="116"/>
      <c r="O394" s="116"/>
      <c r="P394" s="375"/>
      <c r="Q394" s="116"/>
      <c r="R394" s="116"/>
      <c r="S394" s="116"/>
      <c r="T394" s="116"/>
      <c r="U394" s="116"/>
      <c r="V394" s="116"/>
      <c r="W394" s="116"/>
      <c r="X394" s="116"/>
      <c r="Y394" s="116"/>
      <c r="Z394" s="116"/>
      <c r="AA394" s="116"/>
      <c r="AB394" s="116"/>
      <c r="AC394" s="116"/>
      <c r="AD394" s="116"/>
      <c r="AE394" s="116"/>
      <c r="AF394" s="116"/>
      <c r="AG394" s="116"/>
      <c r="AH394" s="1"/>
      <c r="AI394" s="46"/>
      <c r="AJ394" s="46"/>
      <c r="AK394" s="46"/>
      <c r="AL394" s="46"/>
      <c r="AM394" s="46"/>
      <c r="AN394" s="46"/>
      <c r="AO394" s="46"/>
      <c r="AP394" s="46"/>
      <c r="AQ394" s="1"/>
      <c r="AR394" s="15"/>
      <c r="AS394" s="15"/>
      <c r="AT394" s="15"/>
      <c r="AU394" s="15"/>
      <c r="AV394" s="15"/>
      <c r="AW394" s="15"/>
      <c r="AX394" s="15"/>
      <c r="AY394" s="15"/>
      <c r="AZ394" s="15"/>
      <c r="BA394" s="15"/>
      <c r="BB394" s="15"/>
      <c r="BC394" s="15"/>
      <c r="BD394" s="102"/>
      <c r="BE394" s="15"/>
      <c r="BF394" s="15"/>
      <c r="BG394" s="15"/>
      <c r="BH394" s="15"/>
      <c r="BI394" s="15"/>
      <c r="BJ394" s="15"/>
      <c r="BK394" s="15"/>
      <c r="BL394" s="15"/>
      <c r="BM394" s="15"/>
      <c r="BN394" s="15"/>
      <c r="BO394" s="15"/>
      <c r="BP394" s="15"/>
      <c r="BQ394" s="242"/>
      <c r="BR394" s="15"/>
      <c r="BS394" s="15"/>
      <c r="BT394" s="15"/>
      <c r="BU394" s="15"/>
      <c r="BV394" s="15"/>
      <c r="BW394" s="15"/>
      <c r="BX394" s="15"/>
      <c r="BY394" s="15"/>
      <c r="BZ394" s="15"/>
      <c r="CA394" s="15"/>
      <c r="CB394" s="15"/>
      <c r="CC394" s="15"/>
      <c r="CD394" s="15"/>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f t="shared" si="61"/>
        <v>0</v>
      </c>
      <c r="DE394" s="1"/>
      <c r="DF394" s="1"/>
      <c r="DG394" s="1"/>
      <c r="DH394" s="1"/>
      <c r="DI394" s="1"/>
      <c r="DJ394" s="1"/>
      <c r="DK394" s="1"/>
      <c r="DL394" s="1"/>
      <c r="DM394" s="1"/>
      <c r="DN394" s="1"/>
      <c r="DO394" s="1"/>
      <c r="DP394" s="1"/>
      <c r="DQ394" s="1"/>
    </row>
    <row r="395" spans="1:121" x14ac:dyDescent="0.2">
      <c r="A395" s="855"/>
      <c r="B395" s="775"/>
      <c r="C395" s="832"/>
      <c r="D395" s="1" t="s">
        <v>1821</v>
      </c>
      <c r="E395" s="1"/>
      <c r="F395" s="1"/>
      <c r="G395" s="775"/>
      <c r="H395" s="775"/>
      <c r="I395" s="775"/>
      <c r="J395" s="857"/>
      <c r="K395" s="857"/>
      <c r="L395" s="116"/>
      <c r="M395" s="116"/>
      <c r="N395" s="116"/>
      <c r="O395" s="116"/>
      <c r="P395" s="375"/>
      <c r="Q395" s="116"/>
      <c r="R395" s="116"/>
      <c r="S395" s="116"/>
      <c r="T395" s="116"/>
      <c r="U395" s="116"/>
      <c r="V395" s="116"/>
      <c r="W395" s="116"/>
      <c r="X395" s="116"/>
      <c r="Y395" s="116"/>
      <c r="Z395" s="116"/>
      <c r="AA395" s="116"/>
      <c r="AB395" s="116"/>
      <c r="AC395" s="116"/>
      <c r="AD395" s="116"/>
      <c r="AE395" s="116"/>
      <c r="AF395" s="116"/>
      <c r="AG395" s="116"/>
      <c r="AH395" s="1"/>
      <c r="AI395" s="46"/>
      <c r="AJ395" s="46"/>
      <c r="AK395" s="46"/>
      <c r="AL395" s="46"/>
      <c r="AM395" s="46"/>
      <c r="AN395" s="46"/>
      <c r="AO395" s="46"/>
      <c r="AP395" s="46"/>
      <c r="AQ395" s="1"/>
      <c r="AR395" s="15"/>
      <c r="AS395" s="15"/>
      <c r="AT395" s="15"/>
      <c r="AU395" s="15"/>
      <c r="AV395" s="15"/>
      <c r="AW395" s="15"/>
      <c r="AX395" s="15"/>
      <c r="AY395" s="15"/>
      <c r="AZ395" s="15"/>
      <c r="BA395" s="15"/>
      <c r="BB395" s="15"/>
      <c r="BC395" s="15"/>
      <c r="BD395" s="102"/>
      <c r="BE395" s="15"/>
      <c r="BF395" s="15"/>
      <c r="BG395" s="15"/>
      <c r="BH395" s="15"/>
      <c r="BI395" s="15"/>
      <c r="BJ395" s="15"/>
      <c r="BK395" s="15"/>
      <c r="BL395" s="15"/>
      <c r="BM395" s="15"/>
      <c r="BN395" s="15"/>
      <c r="BO395" s="15"/>
      <c r="BP395" s="15"/>
      <c r="BQ395" s="242"/>
      <c r="BR395" s="15"/>
      <c r="BS395" s="15"/>
      <c r="BT395" s="15"/>
      <c r="BU395" s="15"/>
      <c r="BV395" s="15"/>
      <c r="BW395" s="15"/>
      <c r="BX395" s="15"/>
      <c r="BY395" s="15"/>
      <c r="BZ395" s="15"/>
      <c r="CA395" s="15"/>
      <c r="CB395" s="15"/>
      <c r="CC395" s="15"/>
      <c r="CD395" s="15"/>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f t="shared" si="61"/>
        <v>0</v>
      </c>
      <c r="DE395" s="1"/>
      <c r="DF395" s="1"/>
      <c r="DG395" s="1"/>
      <c r="DH395" s="1"/>
      <c r="DI395" s="1"/>
      <c r="DJ395" s="1"/>
      <c r="DK395" s="1"/>
      <c r="DL395" s="1"/>
      <c r="DM395" s="1"/>
      <c r="DN395" s="1"/>
      <c r="DO395" s="1"/>
      <c r="DP395" s="1"/>
      <c r="DQ395" s="1"/>
    </row>
    <row r="396" spans="1:121" ht="15" x14ac:dyDescent="0.25">
      <c r="A396" s="855"/>
      <c r="B396" s="775"/>
      <c r="C396" s="832"/>
      <c r="D396" s="1" t="s">
        <v>1822</v>
      </c>
      <c r="E396" s="17"/>
      <c r="F396" s="17"/>
      <c r="G396" s="775"/>
      <c r="H396" s="775"/>
      <c r="I396" s="775"/>
      <c r="J396" s="857"/>
      <c r="K396" s="857"/>
      <c r="L396" s="116"/>
      <c r="M396" s="116"/>
      <c r="N396" s="116"/>
      <c r="O396" s="116"/>
      <c r="P396" s="375"/>
      <c r="Q396" s="116"/>
      <c r="R396" s="116"/>
      <c r="S396" s="116"/>
      <c r="T396" s="116"/>
      <c r="U396" s="116"/>
      <c r="V396" s="116"/>
      <c r="W396" s="116"/>
      <c r="X396" s="116"/>
      <c r="Y396" s="116"/>
      <c r="Z396" s="116"/>
      <c r="AA396" s="116"/>
      <c r="AB396" s="116"/>
      <c r="AC396" s="116"/>
      <c r="AD396" s="116"/>
      <c r="AE396" s="116"/>
      <c r="AF396" s="116"/>
      <c r="AG396" s="116"/>
      <c r="AH396" s="1"/>
      <c r="AI396" s="46"/>
      <c r="AJ396" s="46"/>
      <c r="AK396" s="46"/>
      <c r="AL396" s="46"/>
      <c r="AM396" s="46"/>
      <c r="AN396" s="46"/>
      <c r="AO396" s="46"/>
      <c r="AP396" s="46"/>
      <c r="AQ396" s="1"/>
      <c r="AR396" s="15"/>
      <c r="AS396" s="15"/>
      <c r="AT396" s="15"/>
      <c r="AU396" s="15"/>
      <c r="AV396" s="15"/>
      <c r="AW396" s="15"/>
      <c r="AX396" s="15"/>
      <c r="AY396" s="15"/>
      <c r="AZ396" s="15"/>
      <c r="BA396" s="15"/>
      <c r="BB396" s="15"/>
      <c r="BC396" s="15"/>
      <c r="BD396" s="102"/>
      <c r="BE396" s="15"/>
      <c r="BF396" s="15"/>
      <c r="BG396" s="15"/>
      <c r="BH396" s="15"/>
      <c r="BI396" s="15"/>
      <c r="BJ396" s="15"/>
      <c r="BK396" s="15"/>
      <c r="BL396" s="15"/>
      <c r="BM396" s="15"/>
      <c r="BN396" s="15"/>
      <c r="BO396" s="15"/>
      <c r="BP396" s="15"/>
      <c r="BQ396" s="242"/>
      <c r="BR396" s="15"/>
      <c r="BS396" s="15"/>
      <c r="BT396" s="15"/>
      <c r="BU396" s="15"/>
      <c r="BV396" s="15"/>
      <c r="BW396" s="15"/>
      <c r="BX396" s="15"/>
      <c r="BY396" s="15"/>
      <c r="BZ396" s="15"/>
      <c r="CA396" s="15"/>
      <c r="CB396" s="15"/>
      <c r="CC396" s="15"/>
      <c r="CD396" s="15"/>
      <c r="CE396" s="1"/>
      <c r="CF396" s="1"/>
      <c r="CG396" s="1"/>
      <c r="CH396" s="1"/>
      <c r="CI396" s="1"/>
      <c r="CJ396" s="1"/>
      <c r="CK396" s="1"/>
      <c r="CL396" s="1"/>
      <c r="CM396" s="1"/>
      <c r="CN396" s="1"/>
      <c r="CO396" s="1"/>
      <c r="CP396" s="1"/>
      <c r="CQ396" s="1"/>
      <c r="CR396" s="1"/>
      <c r="CS396" s="1"/>
      <c r="CT396" s="1"/>
      <c r="CU396" s="1"/>
      <c r="CV396" s="1"/>
      <c r="CW396" s="471"/>
      <c r="CX396" s="1"/>
      <c r="CY396" s="1"/>
      <c r="CZ396" s="1"/>
      <c r="DA396" s="1"/>
      <c r="DB396" s="1"/>
      <c r="DC396" s="1"/>
      <c r="DD396" s="1">
        <f t="shared" si="61"/>
        <v>0</v>
      </c>
      <c r="DE396" s="1"/>
      <c r="DF396" s="1"/>
      <c r="DG396" s="1"/>
      <c r="DH396" s="1"/>
      <c r="DI396" s="1"/>
      <c r="DJ396" s="1"/>
      <c r="DK396" s="1"/>
      <c r="DL396" s="1"/>
      <c r="DM396" s="1"/>
      <c r="DN396" s="1"/>
      <c r="DO396" s="1"/>
      <c r="DP396" s="1"/>
      <c r="DQ396" s="1"/>
    </row>
    <row r="397" spans="1:121" x14ac:dyDescent="0.2">
      <c r="A397" s="855"/>
      <c r="B397" s="775"/>
      <c r="C397" s="832"/>
      <c r="D397" s="1" t="s">
        <v>1823</v>
      </c>
      <c r="E397" s="17"/>
      <c r="F397" s="17"/>
      <c r="G397" s="775"/>
      <c r="H397" s="775"/>
      <c r="I397" s="775"/>
      <c r="J397" s="857"/>
      <c r="K397" s="857"/>
      <c r="L397" s="116"/>
      <c r="M397" s="116"/>
      <c r="N397" s="116"/>
      <c r="O397" s="116"/>
      <c r="P397" s="375"/>
      <c r="Q397" s="116"/>
      <c r="R397" s="116"/>
      <c r="S397" s="116"/>
      <c r="T397" s="116"/>
      <c r="U397" s="116"/>
      <c r="V397" s="116"/>
      <c r="W397" s="116"/>
      <c r="X397" s="116"/>
      <c r="Y397" s="116"/>
      <c r="Z397" s="116"/>
      <c r="AA397" s="116"/>
      <c r="AB397" s="116"/>
      <c r="AC397" s="116"/>
      <c r="AD397" s="116"/>
      <c r="AE397" s="116"/>
      <c r="AF397" s="116"/>
      <c r="AG397" s="116"/>
      <c r="AH397" s="1"/>
      <c r="AI397" s="46"/>
      <c r="AJ397" s="46"/>
      <c r="AK397" s="46"/>
      <c r="AL397" s="46"/>
      <c r="AM397" s="46"/>
      <c r="AN397" s="46"/>
      <c r="AO397" s="46"/>
      <c r="AP397" s="46"/>
      <c r="AQ397" s="1"/>
      <c r="AR397" s="15"/>
      <c r="AS397" s="15"/>
      <c r="AT397" s="15"/>
      <c r="AU397" s="15"/>
      <c r="AV397" s="15"/>
      <c r="AW397" s="15"/>
      <c r="AX397" s="15"/>
      <c r="AY397" s="15"/>
      <c r="AZ397" s="15"/>
      <c r="BA397" s="15"/>
      <c r="BB397" s="15"/>
      <c r="BC397" s="15"/>
      <c r="BD397" s="102"/>
      <c r="BE397" s="15"/>
      <c r="BF397" s="15"/>
      <c r="BG397" s="15"/>
      <c r="BH397" s="15"/>
      <c r="BI397" s="15"/>
      <c r="BJ397" s="15"/>
      <c r="BK397" s="15"/>
      <c r="BL397" s="15"/>
      <c r="BM397" s="15"/>
      <c r="BN397" s="15"/>
      <c r="BO397" s="15"/>
      <c r="BP397" s="15"/>
      <c r="BQ397" s="242"/>
      <c r="BR397" s="15"/>
      <c r="BS397" s="15"/>
      <c r="BT397" s="15"/>
      <c r="BU397" s="15"/>
      <c r="BV397" s="15"/>
      <c r="BW397" s="15"/>
      <c r="BX397" s="15"/>
      <c r="BY397" s="15"/>
      <c r="BZ397" s="15"/>
      <c r="CA397" s="15"/>
      <c r="CB397" s="15"/>
      <c r="CC397" s="15"/>
      <c r="CD397" s="15"/>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f t="shared" si="61"/>
        <v>0</v>
      </c>
      <c r="DE397" s="1"/>
      <c r="DF397" s="1"/>
      <c r="DG397" s="1"/>
      <c r="DH397" s="1"/>
      <c r="DI397" s="1"/>
      <c r="DJ397" s="1"/>
      <c r="DK397" s="1"/>
      <c r="DL397" s="1"/>
      <c r="DM397" s="1"/>
      <c r="DN397" s="1"/>
      <c r="DO397" s="1"/>
      <c r="DP397" s="1"/>
      <c r="DQ397" s="1"/>
    </row>
    <row r="398" spans="1:121" x14ac:dyDescent="0.2">
      <c r="A398" s="855"/>
      <c r="B398" s="775"/>
      <c r="C398" s="832"/>
      <c r="D398" s="1" t="s">
        <v>1824</v>
      </c>
      <c r="E398" s="17"/>
      <c r="F398" s="17"/>
      <c r="G398" s="775"/>
      <c r="H398" s="775"/>
      <c r="I398" s="775"/>
      <c r="J398" s="857"/>
      <c r="K398" s="857"/>
      <c r="L398" s="116"/>
      <c r="M398" s="116"/>
      <c r="N398" s="116"/>
      <c r="O398" s="116"/>
      <c r="P398" s="375"/>
      <c r="Q398" s="116"/>
      <c r="R398" s="116"/>
      <c r="S398" s="116"/>
      <c r="T398" s="116"/>
      <c r="U398" s="116"/>
      <c r="V398" s="116"/>
      <c r="W398" s="116"/>
      <c r="X398" s="116"/>
      <c r="Y398" s="116"/>
      <c r="Z398" s="116"/>
      <c r="AA398" s="116"/>
      <c r="AB398" s="116"/>
      <c r="AC398" s="116"/>
      <c r="AD398" s="116"/>
      <c r="AE398" s="116"/>
      <c r="AF398" s="116"/>
      <c r="AG398" s="116"/>
      <c r="AH398" s="1"/>
      <c r="AI398" s="46"/>
      <c r="AJ398" s="46"/>
      <c r="AK398" s="46"/>
      <c r="AL398" s="46"/>
      <c r="AM398" s="46"/>
      <c r="AN398" s="46"/>
      <c r="AO398" s="46"/>
      <c r="AP398" s="46"/>
      <c r="AQ398" s="1"/>
      <c r="AR398" s="15"/>
      <c r="AS398" s="15"/>
      <c r="AT398" s="15"/>
      <c r="AU398" s="15"/>
      <c r="AV398" s="15"/>
      <c r="AW398" s="15"/>
      <c r="AX398" s="15"/>
      <c r="AY398" s="15"/>
      <c r="AZ398" s="15"/>
      <c r="BA398" s="15"/>
      <c r="BB398" s="15"/>
      <c r="BC398" s="15"/>
      <c r="BD398" s="102"/>
      <c r="BE398" s="15"/>
      <c r="BF398" s="15"/>
      <c r="BG398" s="15"/>
      <c r="BH398" s="15"/>
      <c r="BI398" s="15"/>
      <c r="BJ398" s="15"/>
      <c r="BK398" s="15"/>
      <c r="BL398" s="15"/>
      <c r="BM398" s="15"/>
      <c r="BN398" s="15"/>
      <c r="BO398" s="15"/>
      <c r="BP398" s="15"/>
      <c r="BQ398" s="242"/>
      <c r="BR398" s="15"/>
      <c r="BS398" s="15"/>
      <c r="BT398" s="15"/>
      <c r="BU398" s="15"/>
      <c r="BV398" s="15"/>
      <c r="BW398" s="15"/>
      <c r="BX398" s="15"/>
      <c r="BY398" s="15"/>
      <c r="BZ398" s="15"/>
      <c r="CA398" s="15"/>
      <c r="CB398" s="15"/>
      <c r="CC398" s="15"/>
      <c r="CD398" s="15"/>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f t="shared" si="61"/>
        <v>0</v>
      </c>
      <c r="DE398" s="1"/>
      <c r="DF398" s="1"/>
      <c r="DG398" s="1"/>
      <c r="DH398" s="1"/>
      <c r="DI398" s="1"/>
      <c r="DJ398" s="1"/>
      <c r="DK398" s="1"/>
      <c r="DL398" s="1"/>
      <c r="DM398" s="1"/>
      <c r="DN398" s="1"/>
      <c r="DO398" s="1"/>
      <c r="DP398" s="1"/>
      <c r="DQ398" s="1"/>
    </row>
    <row r="399" spans="1:121" x14ac:dyDescent="0.2">
      <c r="A399" s="855"/>
      <c r="B399" s="775"/>
      <c r="C399" s="832"/>
      <c r="D399" s="1" t="s">
        <v>1825</v>
      </c>
      <c r="E399" s="17"/>
      <c r="F399" s="17"/>
      <c r="G399" s="775"/>
      <c r="H399" s="775"/>
      <c r="I399" s="775"/>
      <c r="J399" s="857"/>
      <c r="K399" s="857"/>
      <c r="L399" s="116"/>
      <c r="M399" s="116"/>
      <c r="N399" s="116"/>
      <c r="O399" s="116"/>
      <c r="P399" s="375"/>
      <c r="Q399" s="116"/>
      <c r="R399" s="116"/>
      <c r="S399" s="116"/>
      <c r="T399" s="116"/>
      <c r="U399" s="116"/>
      <c r="V399" s="116"/>
      <c r="W399" s="116"/>
      <c r="X399" s="116"/>
      <c r="Y399" s="116"/>
      <c r="Z399" s="116"/>
      <c r="AA399" s="116"/>
      <c r="AB399" s="116"/>
      <c r="AC399" s="116"/>
      <c r="AD399" s="116"/>
      <c r="AE399" s="116"/>
      <c r="AF399" s="116"/>
      <c r="AG399" s="116"/>
      <c r="AH399" s="1"/>
      <c r="AI399" s="46"/>
      <c r="AJ399" s="46"/>
      <c r="AK399" s="46"/>
      <c r="AL399" s="46"/>
      <c r="AM399" s="46"/>
      <c r="AN399" s="46"/>
      <c r="AO399" s="46"/>
      <c r="AP399" s="46"/>
      <c r="AQ399" s="1"/>
      <c r="AR399" s="15"/>
      <c r="AS399" s="15"/>
      <c r="AT399" s="15"/>
      <c r="AU399" s="15"/>
      <c r="AV399" s="15"/>
      <c r="AW399" s="15"/>
      <c r="AX399" s="15"/>
      <c r="AY399" s="15"/>
      <c r="AZ399" s="15"/>
      <c r="BA399" s="15"/>
      <c r="BB399" s="15"/>
      <c r="BC399" s="15"/>
      <c r="BD399" s="102"/>
      <c r="BE399" s="15"/>
      <c r="BF399" s="15"/>
      <c r="BG399" s="15"/>
      <c r="BH399" s="15"/>
      <c r="BI399" s="15"/>
      <c r="BJ399" s="15"/>
      <c r="BK399" s="15"/>
      <c r="BL399" s="15"/>
      <c r="BM399" s="15"/>
      <c r="BN399" s="15"/>
      <c r="BO399" s="15"/>
      <c r="BP399" s="15"/>
      <c r="BQ399" s="242"/>
      <c r="BR399" s="15"/>
      <c r="BS399" s="15"/>
      <c r="BT399" s="15"/>
      <c r="BU399" s="15"/>
      <c r="BV399" s="15"/>
      <c r="BW399" s="15"/>
      <c r="BX399" s="15"/>
      <c r="BY399" s="15"/>
      <c r="BZ399" s="15"/>
      <c r="CA399" s="15"/>
      <c r="CB399" s="15"/>
      <c r="CC399" s="15"/>
      <c r="CD399" s="15"/>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f t="shared" si="61"/>
        <v>0</v>
      </c>
      <c r="DE399" s="1"/>
      <c r="DF399" s="1"/>
      <c r="DG399" s="1"/>
      <c r="DH399" s="1"/>
      <c r="DI399" s="1"/>
      <c r="DJ399" s="1"/>
      <c r="DK399" s="1"/>
      <c r="DL399" s="1"/>
      <c r="DM399" s="1"/>
      <c r="DN399" s="1"/>
      <c r="DO399" s="1"/>
      <c r="DP399" s="1"/>
      <c r="DQ399" s="1"/>
    </row>
    <row r="400" spans="1:121" x14ac:dyDescent="0.2">
      <c r="A400" s="855"/>
      <c r="B400" s="775"/>
      <c r="C400" s="832"/>
      <c r="D400" s="1" t="s">
        <v>1826</v>
      </c>
      <c r="E400" s="17"/>
      <c r="F400" s="17"/>
      <c r="G400" s="775"/>
      <c r="H400" s="775"/>
      <c r="I400" s="775"/>
      <c r="J400" s="857"/>
      <c r="K400" s="857"/>
      <c r="L400" s="116"/>
      <c r="M400" s="116"/>
      <c r="N400" s="116"/>
      <c r="O400" s="116"/>
      <c r="P400" s="375"/>
      <c r="Q400" s="116"/>
      <c r="R400" s="116"/>
      <c r="S400" s="116"/>
      <c r="T400" s="116"/>
      <c r="U400" s="116"/>
      <c r="V400" s="116"/>
      <c r="W400" s="116"/>
      <c r="X400" s="116"/>
      <c r="Y400" s="116"/>
      <c r="Z400" s="116"/>
      <c r="AA400" s="116"/>
      <c r="AB400" s="116"/>
      <c r="AC400" s="116"/>
      <c r="AD400" s="116"/>
      <c r="AE400" s="116"/>
      <c r="AF400" s="116"/>
      <c r="AG400" s="116"/>
      <c r="AH400" s="1"/>
      <c r="AI400" s="46"/>
      <c r="AJ400" s="46"/>
      <c r="AK400" s="46"/>
      <c r="AL400" s="46"/>
      <c r="AM400" s="46"/>
      <c r="AN400" s="46"/>
      <c r="AO400" s="46"/>
      <c r="AP400" s="46"/>
      <c r="AQ400" s="1"/>
      <c r="AR400" s="15"/>
      <c r="AS400" s="15"/>
      <c r="AT400" s="15"/>
      <c r="AU400" s="15"/>
      <c r="AV400" s="15"/>
      <c r="AW400" s="15"/>
      <c r="AX400" s="15"/>
      <c r="AY400" s="15"/>
      <c r="AZ400" s="15"/>
      <c r="BA400" s="15"/>
      <c r="BB400" s="15"/>
      <c r="BC400" s="15"/>
      <c r="BD400" s="102"/>
      <c r="BE400" s="15"/>
      <c r="BF400" s="15"/>
      <c r="BG400" s="15"/>
      <c r="BH400" s="15"/>
      <c r="BI400" s="15"/>
      <c r="BJ400" s="15"/>
      <c r="BK400" s="15"/>
      <c r="BL400" s="15"/>
      <c r="BM400" s="15"/>
      <c r="BN400" s="15"/>
      <c r="BO400" s="15"/>
      <c r="BP400" s="15"/>
      <c r="BQ400" s="242"/>
      <c r="BR400" s="15"/>
      <c r="BS400" s="15"/>
      <c r="BT400" s="15"/>
      <c r="BU400" s="15"/>
      <c r="BV400" s="15"/>
      <c r="BW400" s="15"/>
      <c r="BX400" s="15"/>
      <c r="BY400" s="15"/>
      <c r="BZ400" s="15"/>
      <c r="CA400" s="15"/>
      <c r="CB400" s="15"/>
      <c r="CC400" s="15"/>
      <c r="CD400" s="15"/>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f t="shared" si="61"/>
        <v>0</v>
      </c>
      <c r="DE400" s="1"/>
      <c r="DF400" s="1"/>
      <c r="DG400" s="1"/>
      <c r="DH400" s="1"/>
      <c r="DI400" s="1"/>
      <c r="DJ400" s="1"/>
      <c r="DK400" s="1"/>
      <c r="DL400" s="1"/>
      <c r="DM400" s="1"/>
      <c r="DN400" s="1"/>
      <c r="DO400" s="1"/>
      <c r="DP400" s="1"/>
      <c r="DQ400" s="1"/>
    </row>
    <row r="401" spans="1:121" x14ac:dyDescent="0.2">
      <c r="A401" s="855"/>
      <c r="B401" s="775"/>
      <c r="C401" s="832"/>
      <c r="D401" s="1" t="s">
        <v>268</v>
      </c>
      <c r="E401" s="17"/>
      <c r="F401" s="17"/>
      <c r="G401" s="775"/>
      <c r="H401" s="775"/>
      <c r="I401" s="775"/>
      <c r="J401" s="857"/>
      <c r="K401" s="857"/>
      <c r="L401" s="116"/>
      <c r="M401" s="116"/>
      <c r="N401" s="116"/>
      <c r="O401" s="116"/>
      <c r="P401" s="375"/>
      <c r="Q401" s="116"/>
      <c r="R401" s="116"/>
      <c r="S401" s="116"/>
      <c r="T401" s="116"/>
      <c r="U401" s="116"/>
      <c r="V401" s="116"/>
      <c r="W401" s="116"/>
      <c r="X401" s="116"/>
      <c r="Y401" s="116"/>
      <c r="Z401" s="116"/>
      <c r="AA401" s="116"/>
      <c r="AB401" s="116"/>
      <c r="AC401" s="116"/>
      <c r="AD401" s="116"/>
      <c r="AE401" s="116"/>
      <c r="AF401" s="116"/>
      <c r="AG401" s="116"/>
      <c r="AH401" s="1"/>
      <c r="AI401" s="46"/>
      <c r="AJ401" s="46"/>
      <c r="AK401" s="46"/>
      <c r="AL401" s="46"/>
      <c r="AM401" s="46"/>
      <c r="AN401" s="46"/>
      <c r="AO401" s="46"/>
      <c r="AP401" s="46"/>
      <c r="AQ401" s="1"/>
      <c r="AR401" s="15"/>
      <c r="AS401" s="15"/>
      <c r="AT401" s="15"/>
      <c r="AU401" s="15"/>
      <c r="AV401" s="15"/>
      <c r="AW401" s="15"/>
      <c r="AX401" s="15"/>
      <c r="AY401" s="15"/>
      <c r="AZ401" s="15"/>
      <c r="BA401" s="15"/>
      <c r="BB401" s="15"/>
      <c r="BC401" s="15"/>
      <c r="BD401" s="102"/>
      <c r="BE401" s="15"/>
      <c r="BF401" s="15"/>
      <c r="BG401" s="15"/>
      <c r="BH401" s="15"/>
      <c r="BI401" s="15"/>
      <c r="BJ401" s="15"/>
      <c r="BK401" s="15"/>
      <c r="BL401" s="15"/>
      <c r="BM401" s="15"/>
      <c r="BN401" s="15"/>
      <c r="BO401" s="15"/>
      <c r="BP401" s="15"/>
      <c r="BQ401" s="242"/>
      <c r="BR401" s="15"/>
      <c r="BS401" s="15"/>
      <c r="BT401" s="15"/>
      <c r="BU401" s="15"/>
      <c r="BV401" s="15"/>
      <c r="BW401" s="15"/>
      <c r="BX401" s="15"/>
      <c r="BY401" s="15"/>
      <c r="BZ401" s="15"/>
      <c r="CA401" s="15"/>
      <c r="CB401" s="15"/>
      <c r="CC401" s="15"/>
      <c r="CD401" s="15"/>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f t="shared" si="61"/>
        <v>0</v>
      </c>
      <c r="DE401" s="1"/>
      <c r="DF401" s="1"/>
      <c r="DG401" s="1"/>
      <c r="DH401" s="1"/>
      <c r="DI401" s="1"/>
      <c r="DJ401" s="1"/>
      <c r="DK401" s="1"/>
      <c r="DL401" s="1"/>
      <c r="DM401" s="1"/>
      <c r="DN401" s="1"/>
      <c r="DO401" s="1"/>
      <c r="DP401" s="1"/>
      <c r="DQ401" s="1"/>
    </row>
    <row r="402" spans="1:121" x14ac:dyDescent="0.2">
      <c r="A402" s="855"/>
      <c r="B402" s="775"/>
      <c r="C402" s="832"/>
      <c r="D402" s="1" t="s">
        <v>1827</v>
      </c>
      <c r="E402" s="17"/>
      <c r="F402" s="17"/>
      <c r="G402" s="775"/>
      <c r="H402" s="775"/>
      <c r="I402" s="775"/>
      <c r="J402" s="857"/>
      <c r="K402" s="857"/>
      <c r="L402" s="116"/>
      <c r="M402" s="116"/>
      <c r="N402" s="116"/>
      <c r="O402" s="116"/>
      <c r="P402" s="375"/>
      <c r="Q402" s="116"/>
      <c r="R402" s="116"/>
      <c r="S402" s="116"/>
      <c r="T402" s="116"/>
      <c r="U402" s="116"/>
      <c r="V402" s="116"/>
      <c r="W402" s="116"/>
      <c r="X402" s="116"/>
      <c r="Y402" s="116"/>
      <c r="Z402" s="116"/>
      <c r="AA402" s="116"/>
      <c r="AB402" s="116"/>
      <c r="AC402" s="116"/>
      <c r="AD402" s="116"/>
      <c r="AE402" s="116"/>
      <c r="AF402" s="116"/>
      <c r="AG402" s="116"/>
      <c r="AH402" s="1"/>
      <c r="AI402" s="46"/>
      <c r="AJ402" s="46"/>
      <c r="AK402" s="46"/>
      <c r="AL402" s="46"/>
      <c r="AM402" s="46"/>
      <c r="AN402" s="46"/>
      <c r="AO402" s="46"/>
      <c r="AP402" s="46"/>
      <c r="AQ402" s="1"/>
      <c r="AR402" s="15"/>
      <c r="AS402" s="15"/>
      <c r="AT402" s="15"/>
      <c r="AU402" s="15"/>
      <c r="AV402" s="15"/>
      <c r="AW402" s="15"/>
      <c r="AX402" s="15"/>
      <c r="AY402" s="15"/>
      <c r="AZ402" s="15"/>
      <c r="BA402" s="15"/>
      <c r="BB402" s="15"/>
      <c r="BC402" s="15"/>
      <c r="BD402" s="102"/>
      <c r="BE402" s="15"/>
      <c r="BF402" s="15"/>
      <c r="BG402" s="15"/>
      <c r="BH402" s="15"/>
      <c r="BI402" s="15"/>
      <c r="BJ402" s="15"/>
      <c r="BK402" s="15"/>
      <c r="BL402" s="15"/>
      <c r="BM402" s="15"/>
      <c r="BN402" s="15"/>
      <c r="BO402" s="15"/>
      <c r="BP402" s="15"/>
      <c r="BQ402" s="242"/>
      <c r="BR402" s="15"/>
      <c r="BS402" s="15"/>
      <c r="BT402" s="15"/>
      <c r="BU402" s="15"/>
      <c r="BV402" s="15"/>
      <c r="BW402" s="15"/>
      <c r="BX402" s="15"/>
      <c r="BY402" s="15"/>
      <c r="BZ402" s="15"/>
      <c r="CA402" s="15"/>
      <c r="CB402" s="15"/>
      <c r="CC402" s="15"/>
      <c r="CD402" s="15"/>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f t="shared" si="61"/>
        <v>0</v>
      </c>
      <c r="DE402" s="1"/>
      <c r="DF402" s="1"/>
      <c r="DG402" s="1"/>
      <c r="DH402" s="1"/>
      <c r="DI402" s="1"/>
      <c r="DJ402" s="1"/>
      <c r="DK402" s="1"/>
      <c r="DL402" s="1"/>
      <c r="DM402" s="1"/>
      <c r="DN402" s="1"/>
      <c r="DO402" s="1"/>
      <c r="DP402" s="1"/>
      <c r="DQ402" s="1"/>
    </row>
    <row r="403" spans="1:121" x14ac:dyDescent="0.2">
      <c r="A403" s="855"/>
      <c r="B403" s="775"/>
      <c r="C403" s="832"/>
      <c r="D403" s="1" t="s">
        <v>1828</v>
      </c>
      <c r="E403" s="1"/>
      <c r="F403" s="1"/>
      <c r="G403" s="775"/>
      <c r="H403" s="775"/>
      <c r="I403" s="775"/>
      <c r="J403" s="857"/>
      <c r="K403" s="857"/>
      <c r="L403" s="116"/>
      <c r="M403" s="116"/>
      <c r="N403" s="116"/>
      <c r="O403" s="116"/>
      <c r="P403" s="375"/>
      <c r="Q403" s="116"/>
      <c r="R403" s="116"/>
      <c r="S403" s="116"/>
      <c r="T403" s="116"/>
      <c r="U403" s="116"/>
      <c r="V403" s="116"/>
      <c r="W403" s="116"/>
      <c r="X403" s="116"/>
      <c r="Y403" s="116"/>
      <c r="Z403" s="116"/>
      <c r="AA403" s="116"/>
      <c r="AB403" s="116"/>
      <c r="AC403" s="116"/>
      <c r="AD403" s="116"/>
      <c r="AE403" s="116"/>
      <c r="AF403" s="116"/>
      <c r="AG403" s="116"/>
      <c r="AH403" s="1"/>
      <c r="AI403" s="46"/>
      <c r="AJ403" s="46"/>
      <c r="AK403" s="46"/>
      <c r="AL403" s="46"/>
      <c r="AM403" s="46"/>
      <c r="AN403" s="46"/>
      <c r="AO403" s="46"/>
      <c r="AP403" s="46"/>
      <c r="AQ403" s="1"/>
      <c r="AR403" s="15"/>
      <c r="AS403" s="15"/>
      <c r="AT403" s="15"/>
      <c r="AU403" s="15"/>
      <c r="AV403" s="15"/>
      <c r="AW403" s="15"/>
      <c r="AX403" s="15"/>
      <c r="AY403" s="15"/>
      <c r="AZ403" s="15"/>
      <c r="BA403" s="15"/>
      <c r="BB403" s="15"/>
      <c r="BC403" s="15"/>
      <c r="BD403" s="102"/>
      <c r="BE403" s="15"/>
      <c r="BF403" s="15"/>
      <c r="BG403" s="15"/>
      <c r="BH403" s="15"/>
      <c r="BI403" s="15"/>
      <c r="BJ403" s="15"/>
      <c r="BK403" s="15"/>
      <c r="BL403" s="15"/>
      <c r="BM403" s="15"/>
      <c r="BN403" s="15"/>
      <c r="BO403" s="15"/>
      <c r="BP403" s="15"/>
      <c r="BQ403" s="242"/>
      <c r="BR403" s="15"/>
      <c r="BS403" s="15"/>
      <c r="BT403" s="15"/>
      <c r="BU403" s="15"/>
      <c r="BV403" s="15"/>
      <c r="BW403" s="15"/>
      <c r="BX403" s="15"/>
      <c r="BY403" s="15"/>
      <c r="BZ403" s="15"/>
      <c r="CA403" s="15"/>
      <c r="CB403" s="15"/>
      <c r="CC403" s="15"/>
      <c r="CD403" s="15"/>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f t="shared" si="61"/>
        <v>0</v>
      </c>
      <c r="DE403" s="1"/>
      <c r="DF403" s="1"/>
      <c r="DG403" s="1"/>
      <c r="DH403" s="1"/>
      <c r="DI403" s="1"/>
      <c r="DJ403" s="1"/>
      <c r="DK403" s="1"/>
      <c r="DL403" s="1"/>
      <c r="DM403" s="1"/>
      <c r="DN403" s="1"/>
      <c r="DO403" s="1"/>
      <c r="DP403" s="1"/>
      <c r="DQ403" s="1"/>
    </row>
    <row r="404" spans="1:121" x14ac:dyDescent="0.2">
      <c r="A404" s="855"/>
      <c r="B404" s="775"/>
      <c r="C404" s="832"/>
      <c r="D404" s="1" t="s">
        <v>1829</v>
      </c>
      <c r="E404" s="17"/>
      <c r="F404" s="17"/>
      <c r="G404" s="775"/>
      <c r="H404" s="775"/>
      <c r="I404" s="775"/>
      <c r="J404" s="857"/>
      <c r="K404" s="857"/>
      <c r="L404" s="116"/>
      <c r="M404" s="116"/>
      <c r="N404" s="116"/>
      <c r="O404" s="116"/>
      <c r="P404" s="375"/>
      <c r="Q404" s="116"/>
      <c r="R404" s="116"/>
      <c r="S404" s="116"/>
      <c r="T404" s="116"/>
      <c r="U404" s="116"/>
      <c r="V404" s="116"/>
      <c r="W404" s="116"/>
      <c r="X404" s="116"/>
      <c r="Y404" s="116"/>
      <c r="Z404" s="116"/>
      <c r="AA404" s="116"/>
      <c r="AB404" s="116"/>
      <c r="AC404" s="116"/>
      <c r="AD404" s="116"/>
      <c r="AE404" s="116"/>
      <c r="AF404" s="116"/>
      <c r="AG404" s="116"/>
      <c r="AH404" s="1"/>
      <c r="AI404" s="46"/>
      <c r="AJ404" s="46"/>
      <c r="AK404" s="46"/>
      <c r="AL404" s="46"/>
      <c r="AM404" s="46"/>
      <c r="AN404" s="46"/>
      <c r="AO404" s="46"/>
      <c r="AP404" s="46"/>
      <c r="AQ404" s="1"/>
      <c r="AR404" s="15"/>
      <c r="AS404" s="15"/>
      <c r="AT404" s="15"/>
      <c r="AU404" s="15"/>
      <c r="AV404" s="15"/>
      <c r="AW404" s="15"/>
      <c r="AX404" s="15"/>
      <c r="AY404" s="15"/>
      <c r="AZ404" s="15"/>
      <c r="BA404" s="15"/>
      <c r="BB404" s="15"/>
      <c r="BC404" s="15"/>
      <c r="BD404" s="102"/>
      <c r="BE404" s="15"/>
      <c r="BF404" s="15"/>
      <c r="BG404" s="15"/>
      <c r="BH404" s="15"/>
      <c r="BI404" s="15"/>
      <c r="BJ404" s="15"/>
      <c r="BK404" s="15"/>
      <c r="BL404" s="15"/>
      <c r="BM404" s="15"/>
      <c r="BN404" s="15"/>
      <c r="BO404" s="15"/>
      <c r="BP404" s="15"/>
      <c r="BQ404" s="242"/>
      <c r="BR404" s="15"/>
      <c r="BS404" s="15"/>
      <c r="BT404" s="15"/>
      <c r="BU404" s="15"/>
      <c r="BV404" s="15"/>
      <c r="BW404" s="15"/>
      <c r="BX404" s="15"/>
      <c r="BY404" s="15"/>
      <c r="BZ404" s="15"/>
      <c r="CA404" s="15"/>
      <c r="CB404" s="15"/>
      <c r="CC404" s="15"/>
      <c r="CD404" s="15"/>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f t="shared" si="61"/>
        <v>0</v>
      </c>
      <c r="DE404" s="1"/>
      <c r="DF404" s="1"/>
      <c r="DG404" s="1"/>
      <c r="DH404" s="1"/>
      <c r="DI404" s="1"/>
      <c r="DJ404" s="1"/>
      <c r="DK404" s="1"/>
      <c r="DL404" s="1"/>
      <c r="DM404" s="1"/>
      <c r="DN404" s="1"/>
      <c r="DO404" s="1"/>
      <c r="DP404" s="1"/>
      <c r="DQ404" s="1"/>
    </row>
    <row r="405" spans="1:121" x14ac:dyDescent="0.2">
      <c r="A405" s="855"/>
      <c r="B405" s="775"/>
      <c r="C405" s="832"/>
      <c r="D405" s="1" t="s">
        <v>1830</v>
      </c>
      <c r="E405" s="1"/>
      <c r="F405" s="1"/>
      <c r="G405" s="775"/>
      <c r="H405" s="775"/>
      <c r="I405" s="775"/>
      <c r="J405" s="857"/>
      <c r="K405" s="857"/>
      <c r="L405" s="116"/>
      <c r="M405" s="116"/>
      <c r="N405" s="116"/>
      <c r="O405" s="116"/>
      <c r="P405" s="375"/>
      <c r="Q405" s="116"/>
      <c r="R405" s="116"/>
      <c r="S405" s="116"/>
      <c r="T405" s="116"/>
      <c r="U405" s="116"/>
      <c r="V405" s="116"/>
      <c r="W405" s="116"/>
      <c r="X405" s="116"/>
      <c r="Y405" s="116"/>
      <c r="Z405" s="116"/>
      <c r="AA405" s="116"/>
      <c r="AB405" s="116"/>
      <c r="AC405" s="116"/>
      <c r="AD405" s="116"/>
      <c r="AE405" s="116"/>
      <c r="AF405" s="116"/>
      <c r="AG405" s="116"/>
      <c r="AH405" s="1"/>
      <c r="AI405" s="46"/>
      <c r="AJ405" s="46"/>
      <c r="AK405" s="46"/>
      <c r="AL405" s="46"/>
      <c r="AM405" s="46"/>
      <c r="AN405" s="46"/>
      <c r="AO405" s="46"/>
      <c r="AP405" s="46"/>
      <c r="AQ405" s="1"/>
      <c r="AR405" s="15"/>
      <c r="AS405" s="15"/>
      <c r="AT405" s="15"/>
      <c r="AU405" s="15"/>
      <c r="AV405" s="15"/>
      <c r="AW405" s="15"/>
      <c r="AX405" s="15"/>
      <c r="AY405" s="15"/>
      <c r="AZ405" s="15"/>
      <c r="BA405" s="15"/>
      <c r="BB405" s="15"/>
      <c r="BC405" s="15"/>
      <c r="BD405" s="102"/>
      <c r="BE405" s="15"/>
      <c r="BF405" s="15"/>
      <c r="BG405" s="15"/>
      <c r="BH405" s="15"/>
      <c r="BI405" s="15"/>
      <c r="BJ405" s="15"/>
      <c r="BK405" s="15"/>
      <c r="BL405" s="15"/>
      <c r="BM405" s="15"/>
      <c r="BN405" s="15"/>
      <c r="BO405" s="15"/>
      <c r="BP405" s="15"/>
      <c r="BQ405" s="242"/>
      <c r="BR405" s="15"/>
      <c r="BS405" s="15"/>
      <c r="BT405" s="15"/>
      <c r="BU405" s="15"/>
      <c r="BV405" s="15"/>
      <c r="BW405" s="15"/>
      <c r="BX405" s="15"/>
      <c r="BY405" s="15"/>
      <c r="BZ405" s="15"/>
      <c r="CA405" s="15"/>
      <c r="CB405" s="15"/>
      <c r="CC405" s="15"/>
      <c r="CD405" s="15"/>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f t="shared" si="61"/>
        <v>0</v>
      </c>
      <c r="DE405" s="1"/>
      <c r="DF405" s="1"/>
      <c r="DG405" s="1"/>
      <c r="DH405" s="1"/>
      <c r="DI405" s="1"/>
      <c r="DJ405" s="1"/>
      <c r="DK405" s="1"/>
      <c r="DL405" s="1"/>
      <c r="DM405" s="1"/>
      <c r="DN405" s="1"/>
      <c r="DO405" s="1"/>
      <c r="DP405" s="1"/>
      <c r="DQ405" s="1"/>
    </row>
    <row r="406" spans="1:121" x14ac:dyDescent="0.2">
      <c r="A406" s="855"/>
      <c r="B406" s="775"/>
      <c r="C406" s="832"/>
      <c r="D406" s="1" t="s">
        <v>1831</v>
      </c>
      <c r="E406" s="1"/>
      <c r="F406" s="1"/>
      <c r="G406" s="775"/>
      <c r="H406" s="775"/>
      <c r="I406" s="775"/>
      <c r="J406" s="857"/>
      <c r="K406" s="857"/>
      <c r="L406" s="116"/>
      <c r="M406" s="116"/>
      <c r="N406" s="116"/>
      <c r="O406" s="116"/>
      <c r="P406" s="375"/>
      <c r="Q406" s="116"/>
      <c r="R406" s="116"/>
      <c r="S406" s="116"/>
      <c r="T406" s="116"/>
      <c r="U406" s="116"/>
      <c r="V406" s="116"/>
      <c r="W406" s="116"/>
      <c r="X406" s="116"/>
      <c r="Y406" s="116"/>
      <c r="Z406" s="116"/>
      <c r="AA406" s="116"/>
      <c r="AB406" s="116"/>
      <c r="AC406" s="116"/>
      <c r="AD406" s="116"/>
      <c r="AE406" s="116"/>
      <c r="AF406" s="116"/>
      <c r="AG406" s="116"/>
      <c r="AH406" s="1"/>
      <c r="AI406" s="46"/>
      <c r="AJ406" s="46"/>
      <c r="AK406" s="46"/>
      <c r="AL406" s="46"/>
      <c r="AM406" s="46"/>
      <c r="AN406" s="46"/>
      <c r="AO406" s="46"/>
      <c r="AP406" s="46"/>
      <c r="AQ406" s="1"/>
      <c r="AR406" s="15"/>
      <c r="AS406" s="15"/>
      <c r="AT406" s="15"/>
      <c r="AU406" s="15"/>
      <c r="AV406" s="15"/>
      <c r="AW406" s="15"/>
      <c r="AX406" s="15"/>
      <c r="AY406" s="15"/>
      <c r="AZ406" s="15"/>
      <c r="BA406" s="15"/>
      <c r="BB406" s="15"/>
      <c r="BC406" s="15"/>
      <c r="BD406" s="102"/>
      <c r="BE406" s="15"/>
      <c r="BF406" s="15"/>
      <c r="BG406" s="15"/>
      <c r="BH406" s="15"/>
      <c r="BI406" s="15"/>
      <c r="BJ406" s="15"/>
      <c r="BK406" s="15"/>
      <c r="BL406" s="15"/>
      <c r="BM406" s="15"/>
      <c r="BN406" s="15"/>
      <c r="BO406" s="15"/>
      <c r="BP406" s="15"/>
      <c r="BQ406" s="242"/>
      <c r="BR406" s="15"/>
      <c r="BS406" s="15"/>
      <c r="BT406" s="15"/>
      <c r="BU406" s="15"/>
      <c r="BV406" s="15"/>
      <c r="BW406" s="15"/>
      <c r="BX406" s="15"/>
      <c r="BY406" s="15"/>
      <c r="BZ406" s="15"/>
      <c r="CA406" s="15"/>
      <c r="CB406" s="15"/>
      <c r="CC406" s="15"/>
      <c r="CD406" s="15"/>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f t="shared" si="61"/>
        <v>0</v>
      </c>
      <c r="DE406" s="1"/>
      <c r="DF406" s="1"/>
      <c r="DG406" s="1"/>
      <c r="DH406" s="1"/>
      <c r="DI406" s="1"/>
      <c r="DJ406" s="1"/>
      <c r="DK406" s="1"/>
      <c r="DL406" s="1"/>
      <c r="DM406" s="1"/>
      <c r="DN406" s="1"/>
      <c r="DO406" s="1"/>
      <c r="DP406" s="1"/>
      <c r="DQ406" s="1"/>
    </row>
    <row r="407" spans="1:121" x14ac:dyDescent="0.2">
      <c r="A407" s="855"/>
      <c r="B407" s="775"/>
      <c r="C407" s="832"/>
      <c r="D407" s="1" t="s">
        <v>1832</v>
      </c>
      <c r="E407" s="17"/>
      <c r="F407" s="17"/>
      <c r="G407" s="775"/>
      <c r="H407" s="775"/>
      <c r="I407" s="775"/>
      <c r="J407" s="857"/>
      <c r="K407" s="857"/>
      <c r="L407" s="116"/>
      <c r="M407" s="116"/>
      <c r="N407" s="116"/>
      <c r="O407" s="116"/>
      <c r="P407" s="375"/>
      <c r="Q407" s="116"/>
      <c r="R407" s="116"/>
      <c r="S407" s="116"/>
      <c r="T407" s="116"/>
      <c r="U407" s="116"/>
      <c r="V407" s="116"/>
      <c r="W407" s="116"/>
      <c r="X407" s="116"/>
      <c r="Y407" s="116"/>
      <c r="Z407" s="116"/>
      <c r="AA407" s="116"/>
      <c r="AB407" s="116"/>
      <c r="AC407" s="116"/>
      <c r="AD407" s="116"/>
      <c r="AE407" s="116"/>
      <c r="AF407" s="116"/>
      <c r="AG407" s="116"/>
      <c r="AH407" s="1"/>
      <c r="AI407" s="46"/>
      <c r="AJ407" s="46"/>
      <c r="AK407" s="46"/>
      <c r="AL407" s="46"/>
      <c r="AM407" s="46"/>
      <c r="AN407" s="46"/>
      <c r="AO407" s="46"/>
      <c r="AP407" s="46"/>
      <c r="AQ407" s="1"/>
      <c r="AR407" s="15"/>
      <c r="AS407" s="15"/>
      <c r="AT407" s="15"/>
      <c r="AU407" s="15"/>
      <c r="AV407" s="15"/>
      <c r="AW407" s="15"/>
      <c r="AX407" s="15"/>
      <c r="AY407" s="15"/>
      <c r="AZ407" s="15"/>
      <c r="BA407" s="15"/>
      <c r="BB407" s="15"/>
      <c r="BC407" s="15"/>
      <c r="BD407" s="102"/>
      <c r="BE407" s="15"/>
      <c r="BF407" s="15"/>
      <c r="BG407" s="15"/>
      <c r="BH407" s="15"/>
      <c r="BI407" s="15"/>
      <c r="BJ407" s="15"/>
      <c r="BK407" s="15"/>
      <c r="BL407" s="15"/>
      <c r="BM407" s="15"/>
      <c r="BN407" s="15"/>
      <c r="BO407" s="15"/>
      <c r="BP407" s="15"/>
      <c r="BQ407" s="242"/>
      <c r="BR407" s="15"/>
      <c r="BS407" s="15"/>
      <c r="BT407" s="15"/>
      <c r="BU407" s="15"/>
      <c r="BV407" s="15"/>
      <c r="BW407" s="15"/>
      <c r="BX407" s="15"/>
      <c r="BY407" s="15"/>
      <c r="BZ407" s="15"/>
      <c r="CA407" s="15"/>
      <c r="CB407" s="15"/>
      <c r="CC407" s="15"/>
      <c r="CD407" s="15"/>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f t="shared" si="61"/>
        <v>0</v>
      </c>
      <c r="DE407" s="1"/>
      <c r="DF407" s="1"/>
      <c r="DG407" s="1"/>
      <c r="DH407" s="1"/>
      <c r="DI407" s="1"/>
      <c r="DJ407" s="1"/>
      <c r="DK407" s="1"/>
      <c r="DL407" s="1"/>
      <c r="DM407" s="1"/>
      <c r="DN407" s="1"/>
      <c r="DO407" s="1"/>
      <c r="DP407" s="1"/>
      <c r="DQ407" s="1"/>
    </row>
    <row r="408" spans="1:121" x14ac:dyDescent="0.2">
      <c r="A408" s="855"/>
      <c r="B408" s="775"/>
      <c r="C408" s="832"/>
      <c r="D408" s="1" t="s">
        <v>1833</v>
      </c>
      <c r="E408" s="17"/>
      <c r="F408" s="17"/>
      <c r="G408" s="775"/>
      <c r="H408" s="775"/>
      <c r="I408" s="775"/>
      <c r="J408" s="857"/>
      <c r="K408" s="857"/>
      <c r="L408" s="116"/>
      <c r="M408" s="116"/>
      <c r="N408" s="116"/>
      <c r="O408" s="116"/>
      <c r="P408" s="375"/>
      <c r="Q408" s="116"/>
      <c r="R408" s="116"/>
      <c r="S408" s="116"/>
      <c r="T408" s="116"/>
      <c r="U408" s="116"/>
      <c r="V408" s="116"/>
      <c r="W408" s="116"/>
      <c r="X408" s="116"/>
      <c r="Y408" s="116"/>
      <c r="Z408" s="116"/>
      <c r="AA408" s="116"/>
      <c r="AB408" s="116"/>
      <c r="AC408" s="116"/>
      <c r="AD408" s="116"/>
      <c r="AE408" s="116"/>
      <c r="AF408" s="116"/>
      <c r="AG408" s="116"/>
      <c r="AH408" s="1"/>
      <c r="AI408" s="46"/>
      <c r="AJ408" s="46"/>
      <c r="AK408" s="46"/>
      <c r="AL408" s="46"/>
      <c r="AM408" s="46"/>
      <c r="AN408" s="46"/>
      <c r="AO408" s="46"/>
      <c r="AP408" s="46"/>
      <c r="AQ408" s="1"/>
      <c r="AR408" s="15"/>
      <c r="AS408" s="15"/>
      <c r="AT408" s="15"/>
      <c r="AU408" s="15"/>
      <c r="AV408" s="15"/>
      <c r="AW408" s="15"/>
      <c r="AX408" s="15"/>
      <c r="AY408" s="15"/>
      <c r="AZ408" s="15"/>
      <c r="BA408" s="15"/>
      <c r="BB408" s="15"/>
      <c r="BC408" s="15"/>
      <c r="BD408" s="102"/>
      <c r="BE408" s="15"/>
      <c r="BF408" s="15"/>
      <c r="BG408" s="15"/>
      <c r="BH408" s="15"/>
      <c r="BI408" s="15"/>
      <c r="BJ408" s="15"/>
      <c r="BK408" s="15"/>
      <c r="BL408" s="15"/>
      <c r="BM408" s="15"/>
      <c r="BN408" s="15"/>
      <c r="BO408" s="15"/>
      <c r="BP408" s="15"/>
      <c r="BQ408" s="242"/>
      <c r="BR408" s="15"/>
      <c r="BS408" s="15"/>
      <c r="BT408" s="15"/>
      <c r="BU408" s="15"/>
      <c r="BV408" s="15"/>
      <c r="BW408" s="15"/>
      <c r="BX408" s="15"/>
      <c r="BY408" s="15"/>
      <c r="BZ408" s="15"/>
      <c r="CA408" s="15"/>
      <c r="CB408" s="15"/>
      <c r="CC408" s="15"/>
      <c r="CD408" s="15"/>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f t="shared" si="61"/>
        <v>0</v>
      </c>
      <c r="DE408" s="1"/>
      <c r="DF408" s="1"/>
      <c r="DG408" s="1"/>
      <c r="DH408" s="1"/>
      <c r="DI408" s="1"/>
      <c r="DJ408" s="1"/>
      <c r="DK408" s="1"/>
      <c r="DL408" s="1"/>
      <c r="DM408" s="1"/>
      <c r="DN408" s="1"/>
      <c r="DO408" s="1"/>
      <c r="DP408" s="1"/>
      <c r="DQ408" s="1"/>
    </row>
    <row r="409" spans="1:121" x14ac:dyDescent="0.2">
      <c r="A409" s="855"/>
      <c r="B409" s="775"/>
      <c r="C409" s="832"/>
      <c r="D409" s="1" t="s">
        <v>1834</v>
      </c>
      <c r="E409" s="1"/>
      <c r="F409" s="1"/>
      <c r="G409" s="775"/>
      <c r="H409" s="775"/>
      <c r="I409" s="775"/>
      <c r="J409" s="857"/>
      <c r="K409" s="857"/>
      <c r="L409" s="116"/>
      <c r="M409" s="116"/>
      <c r="N409" s="116"/>
      <c r="O409" s="116"/>
      <c r="P409" s="375"/>
      <c r="Q409" s="116"/>
      <c r="R409" s="116"/>
      <c r="S409" s="116"/>
      <c r="T409" s="116"/>
      <c r="U409" s="116"/>
      <c r="V409" s="116"/>
      <c r="W409" s="116"/>
      <c r="X409" s="116"/>
      <c r="Y409" s="116"/>
      <c r="Z409" s="116"/>
      <c r="AA409" s="116"/>
      <c r="AB409" s="116"/>
      <c r="AC409" s="116"/>
      <c r="AD409" s="116"/>
      <c r="AE409" s="116"/>
      <c r="AF409" s="116"/>
      <c r="AG409" s="116"/>
      <c r="AH409" s="1"/>
      <c r="AI409" s="46"/>
      <c r="AJ409" s="46"/>
      <c r="AK409" s="46"/>
      <c r="AL409" s="46"/>
      <c r="AM409" s="46"/>
      <c r="AN409" s="46"/>
      <c r="AO409" s="46"/>
      <c r="AP409" s="46"/>
      <c r="AQ409" s="1"/>
      <c r="AR409" s="15"/>
      <c r="AS409" s="15"/>
      <c r="AT409" s="15"/>
      <c r="AU409" s="15"/>
      <c r="AV409" s="15"/>
      <c r="AW409" s="15"/>
      <c r="AX409" s="15"/>
      <c r="AY409" s="15"/>
      <c r="AZ409" s="15"/>
      <c r="BA409" s="15"/>
      <c r="BB409" s="15"/>
      <c r="BC409" s="15"/>
      <c r="BD409" s="102"/>
      <c r="BE409" s="15"/>
      <c r="BF409" s="15"/>
      <c r="BG409" s="15"/>
      <c r="BH409" s="15"/>
      <c r="BI409" s="15"/>
      <c r="BJ409" s="15"/>
      <c r="BK409" s="15"/>
      <c r="BL409" s="15"/>
      <c r="BM409" s="15"/>
      <c r="BN409" s="15"/>
      <c r="BO409" s="15"/>
      <c r="BP409" s="15"/>
      <c r="BQ409" s="242"/>
      <c r="BR409" s="15"/>
      <c r="BS409" s="15"/>
      <c r="BT409" s="15"/>
      <c r="BU409" s="15"/>
      <c r="BV409" s="15"/>
      <c r="BW409" s="15"/>
      <c r="BX409" s="15"/>
      <c r="BY409" s="15"/>
      <c r="BZ409" s="15"/>
      <c r="CA409" s="15"/>
      <c r="CB409" s="15"/>
      <c r="CC409" s="15"/>
      <c r="CD409" s="15"/>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f t="shared" si="61"/>
        <v>0</v>
      </c>
      <c r="DE409" s="1"/>
      <c r="DF409" s="1"/>
      <c r="DG409" s="1"/>
      <c r="DH409" s="1"/>
      <c r="DI409" s="1"/>
      <c r="DJ409" s="1"/>
      <c r="DK409" s="1"/>
      <c r="DL409" s="1"/>
      <c r="DM409" s="1"/>
      <c r="DN409" s="1"/>
      <c r="DO409" s="1"/>
      <c r="DP409" s="1"/>
      <c r="DQ409" s="1"/>
    </row>
    <row r="410" spans="1:121" x14ac:dyDescent="0.2">
      <c r="A410" s="855"/>
      <c r="B410" s="775"/>
      <c r="C410" s="832"/>
      <c r="D410" s="1" t="s">
        <v>1835</v>
      </c>
      <c r="E410" s="1"/>
      <c r="F410" s="1"/>
      <c r="G410" s="775"/>
      <c r="H410" s="775"/>
      <c r="I410" s="775"/>
      <c r="J410" s="857"/>
      <c r="K410" s="857"/>
      <c r="L410" s="116"/>
      <c r="M410" s="116"/>
      <c r="N410" s="116"/>
      <c r="O410" s="116"/>
      <c r="P410" s="375"/>
      <c r="Q410" s="116"/>
      <c r="R410" s="116"/>
      <c r="S410" s="116"/>
      <c r="T410" s="116"/>
      <c r="U410" s="116"/>
      <c r="V410" s="116"/>
      <c r="W410" s="116"/>
      <c r="X410" s="116"/>
      <c r="Y410" s="116"/>
      <c r="Z410" s="116"/>
      <c r="AA410" s="116"/>
      <c r="AB410" s="116"/>
      <c r="AC410" s="116"/>
      <c r="AD410" s="116"/>
      <c r="AE410" s="116"/>
      <c r="AF410" s="116"/>
      <c r="AG410" s="116"/>
      <c r="AH410" s="1"/>
      <c r="AI410" s="46"/>
      <c r="AJ410" s="46"/>
      <c r="AK410" s="46"/>
      <c r="AL410" s="46"/>
      <c r="AM410" s="46"/>
      <c r="AN410" s="46"/>
      <c r="AO410" s="46"/>
      <c r="AP410" s="46"/>
      <c r="AQ410" s="1"/>
      <c r="AR410" s="15"/>
      <c r="AS410" s="15"/>
      <c r="AT410" s="15"/>
      <c r="AU410" s="15"/>
      <c r="AV410" s="15"/>
      <c r="AW410" s="15"/>
      <c r="AX410" s="15"/>
      <c r="AY410" s="15"/>
      <c r="AZ410" s="15"/>
      <c r="BA410" s="15"/>
      <c r="BB410" s="15"/>
      <c r="BC410" s="15"/>
      <c r="BD410" s="102"/>
      <c r="BE410" s="15"/>
      <c r="BF410" s="15"/>
      <c r="BG410" s="15"/>
      <c r="BH410" s="15"/>
      <c r="BI410" s="15"/>
      <c r="BJ410" s="15"/>
      <c r="BK410" s="15"/>
      <c r="BL410" s="15"/>
      <c r="BM410" s="15"/>
      <c r="BN410" s="15"/>
      <c r="BO410" s="15"/>
      <c r="BP410" s="15"/>
      <c r="BQ410" s="242"/>
      <c r="BR410" s="15"/>
      <c r="BS410" s="15"/>
      <c r="BT410" s="15"/>
      <c r="BU410" s="15"/>
      <c r="BV410" s="15"/>
      <c r="BW410" s="15"/>
      <c r="BX410" s="15"/>
      <c r="BY410" s="15"/>
      <c r="BZ410" s="15"/>
      <c r="CA410" s="15"/>
      <c r="CB410" s="15"/>
      <c r="CC410" s="15"/>
      <c r="CD410" s="15"/>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f t="shared" si="61"/>
        <v>0</v>
      </c>
      <c r="DE410" s="1"/>
      <c r="DF410" s="1"/>
      <c r="DG410" s="1"/>
      <c r="DH410" s="1"/>
      <c r="DI410" s="1"/>
      <c r="DJ410" s="1"/>
      <c r="DK410" s="1"/>
      <c r="DL410" s="1"/>
      <c r="DM410" s="1"/>
      <c r="DN410" s="1"/>
      <c r="DO410" s="1"/>
      <c r="DP410" s="1"/>
      <c r="DQ410" s="1"/>
    </row>
    <row r="411" spans="1:121" x14ac:dyDescent="0.2">
      <c r="A411" s="855"/>
      <c r="B411" s="775"/>
      <c r="C411" s="832"/>
      <c r="D411" s="1" t="s">
        <v>1836</v>
      </c>
      <c r="E411" s="1"/>
      <c r="F411" s="1"/>
      <c r="G411" s="775"/>
      <c r="H411" s="775"/>
      <c r="I411" s="775"/>
      <c r="J411" s="857"/>
      <c r="K411" s="857"/>
      <c r="L411" s="116"/>
      <c r="M411" s="116"/>
      <c r="N411" s="116"/>
      <c r="O411" s="116"/>
      <c r="P411" s="375"/>
      <c r="Q411" s="116"/>
      <c r="R411" s="116"/>
      <c r="S411" s="116"/>
      <c r="T411" s="116"/>
      <c r="U411" s="116"/>
      <c r="V411" s="116"/>
      <c r="W411" s="116"/>
      <c r="X411" s="116"/>
      <c r="Y411" s="116"/>
      <c r="Z411" s="116"/>
      <c r="AA411" s="116"/>
      <c r="AB411" s="116"/>
      <c r="AC411" s="116"/>
      <c r="AD411" s="116"/>
      <c r="AE411" s="116"/>
      <c r="AF411" s="116"/>
      <c r="AG411" s="116"/>
      <c r="AH411" s="1"/>
      <c r="AI411" s="46"/>
      <c r="AJ411" s="46"/>
      <c r="AK411" s="46"/>
      <c r="AL411" s="46"/>
      <c r="AM411" s="46"/>
      <c r="AN411" s="46"/>
      <c r="AO411" s="46"/>
      <c r="AP411" s="46"/>
      <c r="AQ411" s="1"/>
      <c r="AR411" s="15"/>
      <c r="AS411" s="15"/>
      <c r="AT411" s="15"/>
      <c r="AU411" s="15"/>
      <c r="AV411" s="15"/>
      <c r="AW411" s="15"/>
      <c r="AX411" s="15"/>
      <c r="AY411" s="15"/>
      <c r="AZ411" s="15"/>
      <c r="BA411" s="15"/>
      <c r="BB411" s="15"/>
      <c r="BC411" s="15"/>
      <c r="BD411" s="102"/>
      <c r="BE411" s="15"/>
      <c r="BF411" s="15"/>
      <c r="BG411" s="15"/>
      <c r="BH411" s="15"/>
      <c r="BI411" s="15"/>
      <c r="BJ411" s="15"/>
      <c r="BK411" s="15"/>
      <c r="BL411" s="15"/>
      <c r="BM411" s="15"/>
      <c r="BN411" s="15"/>
      <c r="BO411" s="15"/>
      <c r="BP411" s="15"/>
      <c r="BQ411" s="242"/>
      <c r="BR411" s="15"/>
      <c r="BS411" s="15"/>
      <c r="BT411" s="15"/>
      <c r="BU411" s="15"/>
      <c r="BV411" s="15"/>
      <c r="BW411" s="15"/>
      <c r="BX411" s="15"/>
      <c r="BY411" s="15"/>
      <c r="BZ411" s="15"/>
      <c r="CA411" s="15"/>
      <c r="CB411" s="15"/>
      <c r="CC411" s="15"/>
      <c r="CD411" s="15"/>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f t="shared" si="61"/>
        <v>0</v>
      </c>
      <c r="DE411" s="1"/>
      <c r="DF411" s="1"/>
      <c r="DG411" s="1"/>
      <c r="DH411" s="1"/>
      <c r="DI411" s="1"/>
      <c r="DJ411" s="1"/>
      <c r="DK411" s="1"/>
      <c r="DL411" s="1"/>
      <c r="DM411" s="1"/>
      <c r="DN411" s="1"/>
      <c r="DO411" s="1"/>
      <c r="DP411" s="1"/>
      <c r="DQ411" s="1"/>
    </row>
    <row r="412" spans="1:121" x14ac:dyDescent="0.2">
      <c r="A412" s="855"/>
      <c r="B412" s="775"/>
      <c r="C412" s="832"/>
      <c r="D412" s="1" t="s">
        <v>1837</v>
      </c>
      <c r="E412" s="1"/>
      <c r="F412" s="1"/>
      <c r="G412" s="775"/>
      <c r="H412" s="775"/>
      <c r="I412" s="775"/>
      <c r="J412" s="857"/>
      <c r="K412" s="857"/>
      <c r="L412" s="116"/>
      <c r="M412" s="116"/>
      <c r="N412" s="116"/>
      <c r="O412" s="116"/>
      <c r="P412" s="375"/>
      <c r="Q412" s="116"/>
      <c r="R412" s="116"/>
      <c r="S412" s="116"/>
      <c r="T412" s="116"/>
      <c r="U412" s="116"/>
      <c r="V412" s="116"/>
      <c r="W412" s="116"/>
      <c r="X412" s="116"/>
      <c r="Y412" s="116"/>
      <c r="Z412" s="116"/>
      <c r="AA412" s="116"/>
      <c r="AB412" s="116"/>
      <c r="AC412" s="116"/>
      <c r="AD412" s="116"/>
      <c r="AE412" s="116"/>
      <c r="AF412" s="116"/>
      <c r="AG412" s="116"/>
      <c r="AH412" s="1"/>
      <c r="AI412" s="46"/>
      <c r="AJ412" s="46"/>
      <c r="AK412" s="46"/>
      <c r="AL412" s="46"/>
      <c r="AM412" s="46"/>
      <c r="AN412" s="46"/>
      <c r="AO412" s="46"/>
      <c r="AP412" s="46"/>
      <c r="AQ412" s="1"/>
      <c r="AR412" s="15"/>
      <c r="AS412" s="15"/>
      <c r="AT412" s="15"/>
      <c r="AU412" s="15"/>
      <c r="AV412" s="15"/>
      <c r="AW412" s="15"/>
      <c r="AX412" s="15"/>
      <c r="AY412" s="15"/>
      <c r="AZ412" s="15"/>
      <c r="BA412" s="15"/>
      <c r="BB412" s="15"/>
      <c r="BC412" s="15"/>
      <c r="BD412" s="102"/>
      <c r="BE412" s="15"/>
      <c r="BF412" s="15"/>
      <c r="BG412" s="15"/>
      <c r="BH412" s="15"/>
      <c r="BI412" s="15"/>
      <c r="BJ412" s="15"/>
      <c r="BK412" s="15"/>
      <c r="BL412" s="15"/>
      <c r="BM412" s="15"/>
      <c r="BN412" s="15"/>
      <c r="BO412" s="15"/>
      <c r="BP412" s="15"/>
      <c r="BQ412" s="242"/>
      <c r="BR412" s="15"/>
      <c r="BS412" s="15"/>
      <c r="BT412" s="15"/>
      <c r="BU412" s="15"/>
      <c r="BV412" s="15"/>
      <c r="BW412" s="15"/>
      <c r="BX412" s="15"/>
      <c r="BY412" s="15"/>
      <c r="BZ412" s="15"/>
      <c r="CA412" s="15"/>
      <c r="CB412" s="15"/>
      <c r="CC412" s="15"/>
      <c r="CD412" s="15"/>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f t="shared" si="61"/>
        <v>0</v>
      </c>
      <c r="DE412" s="1"/>
      <c r="DF412" s="1"/>
      <c r="DG412" s="1"/>
      <c r="DH412" s="1"/>
      <c r="DI412" s="1"/>
      <c r="DJ412" s="1"/>
      <c r="DK412" s="1"/>
      <c r="DL412" s="1"/>
      <c r="DM412" s="1"/>
      <c r="DN412" s="1"/>
      <c r="DO412" s="1"/>
      <c r="DP412" s="1"/>
      <c r="DQ412" s="1"/>
    </row>
    <row r="413" spans="1:121" x14ac:dyDescent="0.2">
      <c r="A413" s="855"/>
      <c r="B413" s="775"/>
      <c r="C413" s="832"/>
      <c r="D413" s="1" t="s">
        <v>1838</v>
      </c>
      <c r="E413" s="17"/>
      <c r="F413" s="17"/>
      <c r="G413" s="775"/>
      <c r="H413" s="775"/>
      <c r="I413" s="775"/>
      <c r="J413" s="857"/>
      <c r="K413" s="857"/>
      <c r="L413" s="116"/>
      <c r="M413" s="116"/>
      <c r="N413" s="116"/>
      <c r="O413" s="116"/>
      <c r="P413" s="375"/>
      <c r="Q413" s="116"/>
      <c r="R413" s="116"/>
      <c r="S413" s="116"/>
      <c r="T413" s="116"/>
      <c r="U413" s="116"/>
      <c r="V413" s="116"/>
      <c r="W413" s="116"/>
      <c r="X413" s="116"/>
      <c r="Y413" s="116"/>
      <c r="Z413" s="116"/>
      <c r="AA413" s="116"/>
      <c r="AB413" s="116"/>
      <c r="AC413" s="116"/>
      <c r="AD413" s="116"/>
      <c r="AE413" s="116"/>
      <c r="AF413" s="116"/>
      <c r="AG413" s="116"/>
      <c r="AH413" s="1"/>
      <c r="AI413" s="46"/>
      <c r="AJ413" s="46"/>
      <c r="AK413" s="46"/>
      <c r="AL413" s="46"/>
      <c r="AM413" s="46"/>
      <c r="AN413" s="46"/>
      <c r="AO413" s="46"/>
      <c r="AP413" s="46"/>
      <c r="AQ413" s="1"/>
      <c r="AR413" s="15"/>
      <c r="AS413" s="15"/>
      <c r="AT413" s="15"/>
      <c r="AU413" s="15"/>
      <c r="AV413" s="15"/>
      <c r="AW413" s="15"/>
      <c r="AX413" s="15"/>
      <c r="AY413" s="15"/>
      <c r="AZ413" s="15"/>
      <c r="BA413" s="15"/>
      <c r="BB413" s="15"/>
      <c r="BC413" s="15"/>
      <c r="BD413" s="102"/>
      <c r="BE413" s="15"/>
      <c r="BF413" s="15"/>
      <c r="BG413" s="15"/>
      <c r="BH413" s="15"/>
      <c r="BI413" s="15"/>
      <c r="BJ413" s="15"/>
      <c r="BK413" s="15"/>
      <c r="BL413" s="15"/>
      <c r="BM413" s="15"/>
      <c r="BN413" s="15"/>
      <c r="BO413" s="15"/>
      <c r="BP413" s="15"/>
      <c r="BQ413" s="242"/>
      <c r="BR413" s="15"/>
      <c r="BS413" s="15"/>
      <c r="BT413" s="15"/>
      <c r="BU413" s="15"/>
      <c r="BV413" s="15"/>
      <c r="BW413" s="15"/>
      <c r="BX413" s="15"/>
      <c r="BY413" s="15"/>
      <c r="BZ413" s="15"/>
      <c r="CA413" s="15"/>
      <c r="CB413" s="15"/>
      <c r="CC413" s="15"/>
      <c r="CD413" s="15"/>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f t="shared" si="61"/>
        <v>0</v>
      </c>
      <c r="DE413" s="1"/>
      <c r="DF413" s="1"/>
      <c r="DG413" s="1"/>
      <c r="DH413" s="1"/>
      <c r="DI413" s="1"/>
      <c r="DJ413" s="1"/>
      <c r="DK413" s="1"/>
      <c r="DL413" s="1"/>
      <c r="DM413" s="1"/>
      <c r="DN413" s="1"/>
      <c r="DO413" s="1"/>
      <c r="DP413" s="1"/>
      <c r="DQ413" s="1"/>
    </row>
    <row r="414" spans="1:121" x14ac:dyDescent="0.2">
      <c r="A414" s="855"/>
      <c r="B414" s="775"/>
      <c r="C414" s="832"/>
      <c r="D414" s="1" t="s">
        <v>1839</v>
      </c>
      <c r="E414" s="1"/>
      <c r="F414" s="1"/>
      <c r="G414" s="775"/>
      <c r="H414" s="775"/>
      <c r="I414" s="775"/>
      <c r="J414" s="857"/>
      <c r="K414" s="857"/>
      <c r="L414" s="116"/>
      <c r="M414" s="116"/>
      <c r="N414" s="116"/>
      <c r="O414" s="116"/>
      <c r="P414" s="375"/>
      <c r="Q414" s="116"/>
      <c r="R414" s="116"/>
      <c r="S414" s="116"/>
      <c r="T414" s="116"/>
      <c r="U414" s="116"/>
      <c r="V414" s="116"/>
      <c r="W414" s="116"/>
      <c r="X414" s="116"/>
      <c r="Y414" s="116"/>
      <c r="Z414" s="116"/>
      <c r="AA414" s="116"/>
      <c r="AB414" s="116"/>
      <c r="AC414" s="116"/>
      <c r="AD414" s="116"/>
      <c r="AE414" s="116"/>
      <c r="AF414" s="116"/>
      <c r="AG414" s="116"/>
      <c r="AH414" s="1"/>
      <c r="AI414" s="46"/>
      <c r="AJ414" s="46"/>
      <c r="AK414" s="46"/>
      <c r="AL414" s="46"/>
      <c r="AM414" s="46"/>
      <c r="AN414" s="46"/>
      <c r="AO414" s="46"/>
      <c r="AP414" s="46"/>
      <c r="AQ414" s="1"/>
      <c r="AR414" s="15"/>
      <c r="AS414" s="15"/>
      <c r="AT414" s="15"/>
      <c r="AU414" s="15"/>
      <c r="AV414" s="15"/>
      <c r="AW414" s="15"/>
      <c r="AX414" s="15"/>
      <c r="AY414" s="15"/>
      <c r="AZ414" s="15"/>
      <c r="BA414" s="15"/>
      <c r="BB414" s="15"/>
      <c r="BC414" s="15"/>
      <c r="BD414" s="102"/>
      <c r="BE414" s="15"/>
      <c r="BF414" s="15"/>
      <c r="BG414" s="15"/>
      <c r="BH414" s="15"/>
      <c r="BI414" s="15"/>
      <c r="BJ414" s="15"/>
      <c r="BK414" s="15"/>
      <c r="BL414" s="15"/>
      <c r="BM414" s="15"/>
      <c r="BN414" s="15"/>
      <c r="BO414" s="15"/>
      <c r="BP414" s="15"/>
      <c r="BQ414" s="242"/>
      <c r="BR414" s="15"/>
      <c r="BS414" s="15"/>
      <c r="BT414" s="15"/>
      <c r="BU414" s="15"/>
      <c r="BV414" s="15"/>
      <c r="BW414" s="15"/>
      <c r="BX414" s="15"/>
      <c r="BY414" s="15"/>
      <c r="BZ414" s="15"/>
      <c r="CA414" s="15"/>
      <c r="CB414" s="15"/>
      <c r="CC414" s="15"/>
      <c r="CD414" s="15"/>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f t="shared" si="61"/>
        <v>0</v>
      </c>
      <c r="DE414" s="1"/>
      <c r="DF414" s="1"/>
      <c r="DG414" s="1"/>
      <c r="DH414" s="1"/>
      <c r="DI414" s="1"/>
      <c r="DJ414" s="1"/>
      <c r="DK414" s="1"/>
      <c r="DL414" s="1"/>
      <c r="DM414" s="1"/>
      <c r="DN414" s="1"/>
      <c r="DO414" s="1"/>
      <c r="DP414" s="1"/>
      <c r="DQ414" s="1"/>
    </row>
    <row r="415" spans="1:121" x14ac:dyDescent="0.2">
      <c r="A415" s="855"/>
      <c r="B415" s="775"/>
      <c r="C415" s="832"/>
      <c r="D415" s="1" t="s">
        <v>1840</v>
      </c>
      <c r="E415" s="17"/>
      <c r="F415" s="17"/>
      <c r="G415" s="775"/>
      <c r="H415" s="775"/>
      <c r="I415" s="775"/>
      <c r="J415" s="857"/>
      <c r="K415" s="857"/>
      <c r="L415" s="116"/>
      <c r="M415" s="116"/>
      <c r="N415" s="116"/>
      <c r="O415" s="116"/>
      <c r="P415" s="375"/>
      <c r="Q415" s="116"/>
      <c r="R415" s="116"/>
      <c r="S415" s="116"/>
      <c r="T415" s="116"/>
      <c r="U415" s="116"/>
      <c r="V415" s="116"/>
      <c r="W415" s="116"/>
      <c r="X415" s="116"/>
      <c r="Y415" s="116"/>
      <c r="Z415" s="116"/>
      <c r="AA415" s="116"/>
      <c r="AB415" s="116"/>
      <c r="AC415" s="116"/>
      <c r="AD415" s="116"/>
      <c r="AE415" s="116"/>
      <c r="AF415" s="116"/>
      <c r="AG415" s="116"/>
      <c r="AH415" s="1"/>
      <c r="AI415" s="46"/>
      <c r="AJ415" s="46"/>
      <c r="AK415" s="46"/>
      <c r="AL415" s="46"/>
      <c r="AM415" s="46"/>
      <c r="AN415" s="46"/>
      <c r="AO415" s="46"/>
      <c r="AP415" s="46"/>
      <c r="AQ415" s="1"/>
      <c r="AR415" s="15"/>
      <c r="AS415" s="15"/>
      <c r="AT415" s="15"/>
      <c r="AU415" s="15"/>
      <c r="AV415" s="15"/>
      <c r="AW415" s="15"/>
      <c r="AX415" s="15"/>
      <c r="AY415" s="15"/>
      <c r="AZ415" s="15"/>
      <c r="BA415" s="15"/>
      <c r="BB415" s="15"/>
      <c r="BC415" s="15"/>
      <c r="BD415" s="102"/>
      <c r="BE415" s="15"/>
      <c r="BF415" s="15"/>
      <c r="BG415" s="15"/>
      <c r="BH415" s="15"/>
      <c r="BI415" s="15"/>
      <c r="BJ415" s="15"/>
      <c r="BK415" s="15"/>
      <c r="BL415" s="15"/>
      <c r="BM415" s="15"/>
      <c r="BN415" s="15"/>
      <c r="BO415" s="15"/>
      <c r="BP415" s="15"/>
      <c r="BQ415" s="242"/>
      <c r="BR415" s="15"/>
      <c r="BS415" s="15"/>
      <c r="BT415" s="15"/>
      <c r="BU415" s="15"/>
      <c r="BV415" s="15"/>
      <c r="BW415" s="15"/>
      <c r="BX415" s="15"/>
      <c r="BY415" s="15"/>
      <c r="BZ415" s="15"/>
      <c r="CA415" s="15"/>
      <c r="CB415" s="15"/>
      <c r="CC415" s="15"/>
      <c r="CD415" s="15"/>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f t="shared" si="61"/>
        <v>0</v>
      </c>
      <c r="DE415" s="1"/>
      <c r="DF415" s="1"/>
      <c r="DG415" s="1"/>
      <c r="DH415" s="1"/>
      <c r="DI415" s="1"/>
      <c r="DJ415" s="1"/>
      <c r="DK415" s="1"/>
      <c r="DL415" s="1"/>
      <c r="DM415" s="1"/>
      <c r="DN415" s="1"/>
      <c r="DO415" s="1"/>
      <c r="DP415" s="1"/>
      <c r="DQ415" s="1"/>
    </row>
    <row r="416" spans="1:121" x14ac:dyDescent="0.2">
      <c r="A416" s="855"/>
      <c r="B416" s="775"/>
      <c r="C416" s="832"/>
      <c r="D416" s="1" t="s">
        <v>1841</v>
      </c>
      <c r="E416" s="17"/>
      <c r="F416" s="17"/>
      <c r="G416" s="775"/>
      <c r="H416" s="775"/>
      <c r="I416" s="775"/>
      <c r="J416" s="857"/>
      <c r="K416" s="857"/>
      <c r="L416" s="116"/>
      <c r="M416" s="116"/>
      <c r="N416" s="116"/>
      <c r="O416" s="116"/>
      <c r="P416" s="375"/>
      <c r="Q416" s="116"/>
      <c r="R416" s="116"/>
      <c r="S416" s="116"/>
      <c r="T416" s="116"/>
      <c r="U416" s="116"/>
      <c r="V416" s="116"/>
      <c r="W416" s="116"/>
      <c r="X416" s="116"/>
      <c r="Y416" s="116"/>
      <c r="Z416" s="116"/>
      <c r="AA416" s="116"/>
      <c r="AB416" s="116"/>
      <c r="AC416" s="116"/>
      <c r="AD416" s="116"/>
      <c r="AE416" s="116"/>
      <c r="AF416" s="116"/>
      <c r="AG416" s="116"/>
      <c r="AH416" s="1"/>
      <c r="AI416" s="46"/>
      <c r="AJ416" s="46"/>
      <c r="AK416" s="46"/>
      <c r="AL416" s="46"/>
      <c r="AM416" s="46"/>
      <c r="AN416" s="46"/>
      <c r="AO416" s="46"/>
      <c r="AP416" s="46"/>
      <c r="AQ416" s="1"/>
      <c r="AR416" s="15"/>
      <c r="AS416" s="15"/>
      <c r="AT416" s="15"/>
      <c r="AU416" s="15"/>
      <c r="AV416" s="15"/>
      <c r="AW416" s="15"/>
      <c r="AX416" s="15"/>
      <c r="AY416" s="15"/>
      <c r="AZ416" s="15"/>
      <c r="BA416" s="15"/>
      <c r="BB416" s="15"/>
      <c r="BC416" s="15"/>
      <c r="BD416" s="102"/>
      <c r="BE416" s="15"/>
      <c r="BF416" s="15"/>
      <c r="BG416" s="15"/>
      <c r="BH416" s="15"/>
      <c r="BI416" s="15"/>
      <c r="BJ416" s="15"/>
      <c r="BK416" s="15"/>
      <c r="BL416" s="15"/>
      <c r="BM416" s="15"/>
      <c r="BN416" s="15"/>
      <c r="BO416" s="15"/>
      <c r="BP416" s="15"/>
      <c r="BQ416" s="242"/>
      <c r="BR416" s="15"/>
      <c r="BS416" s="15"/>
      <c r="BT416" s="15"/>
      <c r="BU416" s="15"/>
      <c r="BV416" s="15"/>
      <c r="BW416" s="15"/>
      <c r="BX416" s="15"/>
      <c r="BY416" s="15"/>
      <c r="BZ416" s="15"/>
      <c r="CA416" s="15"/>
      <c r="CB416" s="15"/>
      <c r="CC416" s="15"/>
      <c r="CD416" s="15"/>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f t="shared" si="61"/>
        <v>0</v>
      </c>
      <c r="DE416" s="1"/>
      <c r="DF416" s="1"/>
      <c r="DG416" s="1"/>
      <c r="DH416" s="1"/>
      <c r="DI416" s="1"/>
      <c r="DJ416" s="1"/>
      <c r="DK416" s="1"/>
      <c r="DL416" s="1"/>
      <c r="DM416" s="1"/>
      <c r="DN416" s="1"/>
      <c r="DO416" s="1"/>
      <c r="DP416" s="1"/>
      <c r="DQ416" s="1"/>
    </row>
    <row r="417" spans="1:121" x14ac:dyDescent="0.2">
      <c r="A417" s="855"/>
      <c r="B417" s="775"/>
      <c r="C417" s="832"/>
      <c r="D417" s="1" t="s">
        <v>1842</v>
      </c>
      <c r="E417" s="1"/>
      <c r="F417" s="1"/>
      <c r="G417" s="775"/>
      <c r="H417" s="775"/>
      <c r="I417" s="775"/>
      <c r="J417" s="857"/>
      <c r="K417" s="857"/>
      <c r="L417" s="116"/>
      <c r="M417" s="116"/>
      <c r="N417" s="116"/>
      <c r="O417" s="116"/>
      <c r="P417" s="375"/>
      <c r="Q417" s="116"/>
      <c r="R417" s="116"/>
      <c r="S417" s="116"/>
      <c r="T417" s="116"/>
      <c r="U417" s="116"/>
      <c r="V417" s="116"/>
      <c r="W417" s="116"/>
      <c r="X417" s="116"/>
      <c r="Y417" s="116"/>
      <c r="Z417" s="116"/>
      <c r="AA417" s="116"/>
      <c r="AB417" s="116"/>
      <c r="AC417" s="116"/>
      <c r="AD417" s="116"/>
      <c r="AE417" s="116"/>
      <c r="AF417" s="116"/>
      <c r="AG417" s="116"/>
      <c r="AH417" s="1"/>
      <c r="AI417" s="46"/>
      <c r="AJ417" s="46"/>
      <c r="AK417" s="46"/>
      <c r="AL417" s="46"/>
      <c r="AM417" s="46"/>
      <c r="AN417" s="46"/>
      <c r="AO417" s="46"/>
      <c r="AP417" s="46"/>
      <c r="AQ417" s="1"/>
      <c r="AR417" s="15"/>
      <c r="AS417" s="15"/>
      <c r="AT417" s="15"/>
      <c r="AU417" s="15"/>
      <c r="AV417" s="15"/>
      <c r="AW417" s="15"/>
      <c r="AX417" s="15"/>
      <c r="AY417" s="15"/>
      <c r="AZ417" s="15"/>
      <c r="BA417" s="15"/>
      <c r="BB417" s="15"/>
      <c r="BC417" s="15"/>
      <c r="BD417" s="102"/>
      <c r="BE417" s="15"/>
      <c r="BF417" s="15"/>
      <c r="BG417" s="15"/>
      <c r="BH417" s="15"/>
      <c r="BI417" s="15"/>
      <c r="BJ417" s="15"/>
      <c r="BK417" s="15"/>
      <c r="BL417" s="15"/>
      <c r="BM417" s="15"/>
      <c r="BN417" s="15"/>
      <c r="BO417" s="15"/>
      <c r="BP417" s="15"/>
      <c r="BQ417" s="242"/>
      <c r="BR417" s="15"/>
      <c r="BS417" s="15"/>
      <c r="BT417" s="15"/>
      <c r="BU417" s="15"/>
      <c r="BV417" s="15"/>
      <c r="BW417" s="15"/>
      <c r="BX417" s="15"/>
      <c r="BY417" s="15"/>
      <c r="BZ417" s="15"/>
      <c r="CA417" s="15"/>
      <c r="CB417" s="15"/>
      <c r="CC417" s="15"/>
      <c r="CD417" s="15"/>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f t="shared" si="61"/>
        <v>0</v>
      </c>
      <c r="DE417" s="1"/>
      <c r="DF417" s="1"/>
      <c r="DG417" s="1"/>
      <c r="DH417" s="1"/>
      <c r="DI417" s="1"/>
      <c r="DJ417" s="1"/>
      <c r="DK417" s="1"/>
      <c r="DL417" s="1"/>
      <c r="DM417" s="1"/>
      <c r="DN417" s="1"/>
      <c r="DO417" s="1"/>
      <c r="DP417" s="1"/>
      <c r="DQ417" s="1"/>
    </row>
    <row r="418" spans="1:121" x14ac:dyDescent="0.2">
      <c r="A418" s="855"/>
      <c r="B418" s="775"/>
      <c r="C418" s="832"/>
      <c r="D418" s="1" t="s">
        <v>1843</v>
      </c>
      <c r="E418" s="1"/>
      <c r="F418" s="1"/>
      <c r="G418" s="775"/>
      <c r="H418" s="775"/>
      <c r="I418" s="775"/>
      <c r="J418" s="857"/>
      <c r="K418" s="857"/>
      <c r="L418" s="116"/>
      <c r="M418" s="116"/>
      <c r="N418" s="116"/>
      <c r="O418" s="116"/>
      <c r="P418" s="375"/>
      <c r="Q418" s="116"/>
      <c r="R418" s="116"/>
      <c r="S418" s="116"/>
      <c r="T418" s="116"/>
      <c r="U418" s="116"/>
      <c r="V418" s="116"/>
      <c r="W418" s="116"/>
      <c r="X418" s="116"/>
      <c r="Y418" s="116"/>
      <c r="Z418" s="116"/>
      <c r="AA418" s="116"/>
      <c r="AB418" s="116"/>
      <c r="AC418" s="116"/>
      <c r="AD418" s="116"/>
      <c r="AE418" s="116"/>
      <c r="AF418" s="116"/>
      <c r="AG418" s="116"/>
      <c r="AH418" s="1"/>
      <c r="AI418" s="46"/>
      <c r="AJ418" s="46"/>
      <c r="AK418" s="46"/>
      <c r="AL418" s="46"/>
      <c r="AM418" s="46"/>
      <c r="AN418" s="46"/>
      <c r="AO418" s="46"/>
      <c r="AP418" s="46"/>
      <c r="AQ418" s="1"/>
      <c r="AR418" s="15"/>
      <c r="AS418" s="15"/>
      <c r="AT418" s="15"/>
      <c r="AU418" s="15"/>
      <c r="AV418" s="15"/>
      <c r="AW418" s="15"/>
      <c r="AX418" s="15"/>
      <c r="AY418" s="15"/>
      <c r="AZ418" s="15"/>
      <c r="BA418" s="15"/>
      <c r="BB418" s="15"/>
      <c r="BC418" s="15"/>
      <c r="BD418" s="102"/>
      <c r="BE418" s="15"/>
      <c r="BF418" s="15"/>
      <c r="BG418" s="15"/>
      <c r="BH418" s="15"/>
      <c r="BI418" s="15"/>
      <c r="BJ418" s="15"/>
      <c r="BK418" s="15"/>
      <c r="BL418" s="15"/>
      <c r="BM418" s="15"/>
      <c r="BN418" s="15"/>
      <c r="BO418" s="15"/>
      <c r="BP418" s="15"/>
      <c r="BQ418" s="242"/>
      <c r="BR418" s="15"/>
      <c r="BS418" s="15"/>
      <c r="BT418" s="15"/>
      <c r="BU418" s="15"/>
      <c r="BV418" s="15"/>
      <c r="BW418" s="15"/>
      <c r="BX418" s="15"/>
      <c r="BY418" s="15"/>
      <c r="BZ418" s="15"/>
      <c r="CA418" s="15"/>
      <c r="CB418" s="15"/>
      <c r="CC418" s="15"/>
      <c r="CD418" s="15"/>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f t="shared" si="61"/>
        <v>0</v>
      </c>
      <c r="DE418" s="1"/>
      <c r="DF418" s="1"/>
      <c r="DG418" s="1"/>
      <c r="DH418" s="1"/>
      <c r="DI418" s="1"/>
      <c r="DJ418" s="1"/>
      <c r="DK418" s="1"/>
      <c r="DL418" s="1"/>
      <c r="DM418" s="1"/>
      <c r="DN418" s="1"/>
      <c r="DO418" s="1"/>
      <c r="DP418" s="1"/>
      <c r="DQ418" s="1"/>
    </row>
    <row r="419" spans="1:121" x14ac:dyDescent="0.2">
      <c r="A419" s="855"/>
      <c r="B419" s="775"/>
      <c r="C419" s="832"/>
      <c r="D419" s="1" t="s">
        <v>1844</v>
      </c>
      <c r="E419" s="17"/>
      <c r="F419" s="17"/>
      <c r="G419" s="775"/>
      <c r="H419" s="775"/>
      <c r="I419" s="775"/>
      <c r="J419" s="857"/>
      <c r="K419" s="857"/>
      <c r="L419" s="116"/>
      <c r="M419" s="116"/>
      <c r="N419" s="116"/>
      <c r="O419" s="116"/>
      <c r="P419" s="375"/>
      <c r="Q419" s="116"/>
      <c r="R419" s="116"/>
      <c r="S419" s="116"/>
      <c r="T419" s="116"/>
      <c r="U419" s="116"/>
      <c r="V419" s="116"/>
      <c r="W419" s="116"/>
      <c r="X419" s="116"/>
      <c r="Y419" s="116"/>
      <c r="Z419" s="116"/>
      <c r="AA419" s="116"/>
      <c r="AB419" s="116"/>
      <c r="AC419" s="116"/>
      <c r="AD419" s="116"/>
      <c r="AE419" s="116"/>
      <c r="AF419" s="116"/>
      <c r="AG419" s="116"/>
      <c r="AH419" s="1"/>
      <c r="AI419" s="46"/>
      <c r="AJ419" s="46"/>
      <c r="AK419" s="46"/>
      <c r="AL419" s="46"/>
      <c r="AM419" s="46"/>
      <c r="AN419" s="46"/>
      <c r="AO419" s="46"/>
      <c r="AP419" s="46"/>
      <c r="AQ419" s="1"/>
      <c r="AR419" s="15"/>
      <c r="AS419" s="15"/>
      <c r="AT419" s="15"/>
      <c r="AU419" s="15"/>
      <c r="AV419" s="15"/>
      <c r="AW419" s="15"/>
      <c r="AX419" s="15"/>
      <c r="AY419" s="15"/>
      <c r="AZ419" s="15"/>
      <c r="BA419" s="15"/>
      <c r="BB419" s="15"/>
      <c r="BC419" s="15"/>
      <c r="BD419" s="102"/>
      <c r="BE419" s="15"/>
      <c r="BF419" s="15"/>
      <c r="BG419" s="15"/>
      <c r="BH419" s="15"/>
      <c r="BI419" s="15"/>
      <c r="BJ419" s="15"/>
      <c r="BK419" s="15"/>
      <c r="BL419" s="15"/>
      <c r="BM419" s="15"/>
      <c r="BN419" s="15"/>
      <c r="BO419" s="15"/>
      <c r="BP419" s="15"/>
      <c r="BQ419" s="242"/>
      <c r="BR419" s="15"/>
      <c r="BS419" s="15"/>
      <c r="BT419" s="15"/>
      <c r="BU419" s="15"/>
      <c r="BV419" s="15"/>
      <c r="BW419" s="15"/>
      <c r="BX419" s="15"/>
      <c r="BY419" s="15"/>
      <c r="BZ419" s="15"/>
      <c r="CA419" s="15"/>
      <c r="CB419" s="15"/>
      <c r="CC419" s="15"/>
      <c r="CD419" s="15"/>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f t="shared" si="61"/>
        <v>0</v>
      </c>
      <c r="DE419" s="1"/>
      <c r="DF419" s="1"/>
      <c r="DG419" s="1"/>
      <c r="DH419" s="1"/>
      <c r="DI419" s="1"/>
      <c r="DJ419" s="1"/>
      <c r="DK419" s="1"/>
      <c r="DL419" s="1"/>
      <c r="DM419" s="1"/>
      <c r="DN419" s="1"/>
      <c r="DO419" s="1"/>
      <c r="DP419" s="1"/>
      <c r="DQ419" s="1"/>
    </row>
    <row r="420" spans="1:121" x14ac:dyDescent="0.2">
      <c r="A420" s="855"/>
      <c r="B420" s="775"/>
      <c r="C420" s="832"/>
      <c r="D420" s="1" t="s">
        <v>1845</v>
      </c>
      <c r="E420" s="17"/>
      <c r="F420" s="17"/>
      <c r="G420" s="775"/>
      <c r="H420" s="775"/>
      <c r="I420" s="775"/>
      <c r="J420" s="857"/>
      <c r="K420" s="857"/>
      <c r="L420" s="116"/>
      <c r="M420" s="116"/>
      <c r="N420" s="116"/>
      <c r="O420" s="116"/>
      <c r="P420" s="375"/>
      <c r="Q420" s="116"/>
      <c r="R420" s="116"/>
      <c r="S420" s="116"/>
      <c r="T420" s="116"/>
      <c r="U420" s="116"/>
      <c r="V420" s="116"/>
      <c r="W420" s="116"/>
      <c r="X420" s="116"/>
      <c r="Y420" s="116"/>
      <c r="Z420" s="116"/>
      <c r="AA420" s="116"/>
      <c r="AB420" s="116"/>
      <c r="AC420" s="116"/>
      <c r="AD420" s="116"/>
      <c r="AE420" s="116"/>
      <c r="AF420" s="116"/>
      <c r="AG420" s="116"/>
      <c r="AH420" s="1"/>
      <c r="AI420" s="46"/>
      <c r="AJ420" s="46"/>
      <c r="AK420" s="46"/>
      <c r="AL420" s="46"/>
      <c r="AM420" s="46"/>
      <c r="AN420" s="46"/>
      <c r="AO420" s="46"/>
      <c r="AP420" s="46"/>
      <c r="AQ420" s="1"/>
      <c r="AR420" s="15"/>
      <c r="AS420" s="15"/>
      <c r="AT420" s="15"/>
      <c r="AU420" s="15"/>
      <c r="AV420" s="15"/>
      <c r="AW420" s="15"/>
      <c r="AX420" s="15"/>
      <c r="AY420" s="15"/>
      <c r="AZ420" s="15"/>
      <c r="BA420" s="15"/>
      <c r="BB420" s="15"/>
      <c r="BC420" s="15"/>
      <c r="BD420" s="102"/>
      <c r="BE420" s="15"/>
      <c r="BF420" s="15"/>
      <c r="BG420" s="15"/>
      <c r="BH420" s="15"/>
      <c r="BI420" s="15"/>
      <c r="BJ420" s="15"/>
      <c r="BK420" s="15"/>
      <c r="BL420" s="15"/>
      <c r="BM420" s="15"/>
      <c r="BN420" s="15"/>
      <c r="BO420" s="15"/>
      <c r="BP420" s="15"/>
      <c r="BQ420" s="242"/>
      <c r="BR420" s="15"/>
      <c r="BS420" s="15"/>
      <c r="BT420" s="15"/>
      <c r="BU420" s="15"/>
      <c r="BV420" s="15"/>
      <c r="BW420" s="15"/>
      <c r="BX420" s="15"/>
      <c r="BY420" s="15"/>
      <c r="BZ420" s="15"/>
      <c r="CA420" s="15"/>
      <c r="CB420" s="15"/>
      <c r="CC420" s="15"/>
      <c r="CD420" s="15"/>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f t="shared" si="61"/>
        <v>0</v>
      </c>
      <c r="DE420" s="1"/>
      <c r="DF420" s="1"/>
      <c r="DG420" s="1"/>
      <c r="DH420" s="1"/>
      <c r="DI420" s="1"/>
      <c r="DJ420" s="1"/>
      <c r="DK420" s="1"/>
      <c r="DL420" s="1"/>
      <c r="DM420" s="1"/>
      <c r="DN420" s="1"/>
      <c r="DO420" s="1"/>
      <c r="DP420" s="1"/>
      <c r="DQ420" s="1"/>
    </row>
    <row r="421" spans="1:121" x14ac:dyDescent="0.2">
      <c r="A421" s="855"/>
      <c r="B421" s="775"/>
      <c r="C421" s="832"/>
      <c r="D421" s="1" t="s">
        <v>1846</v>
      </c>
      <c r="E421" s="1"/>
      <c r="F421" s="1"/>
      <c r="G421" s="775"/>
      <c r="H421" s="775"/>
      <c r="I421" s="775"/>
      <c r="J421" s="857"/>
      <c r="K421" s="857"/>
      <c r="L421" s="116"/>
      <c r="M421" s="116"/>
      <c r="N421" s="116"/>
      <c r="O421" s="116"/>
      <c r="P421" s="375"/>
      <c r="Q421" s="116"/>
      <c r="R421" s="116"/>
      <c r="S421" s="116"/>
      <c r="T421" s="116"/>
      <c r="U421" s="116"/>
      <c r="V421" s="116"/>
      <c r="W421" s="116"/>
      <c r="X421" s="116"/>
      <c r="Y421" s="116"/>
      <c r="Z421" s="116"/>
      <c r="AA421" s="116"/>
      <c r="AB421" s="116"/>
      <c r="AC421" s="116"/>
      <c r="AD421" s="116"/>
      <c r="AE421" s="116"/>
      <c r="AF421" s="116"/>
      <c r="AG421" s="116"/>
      <c r="AH421" s="1"/>
      <c r="AI421" s="46"/>
      <c r="AJ421" s="46"/>
      <c r="AK421" s="46"/>
      <c r="AL421" s="46"/>
      <c r="AM421" s="46"/>
      <c r="AN421" s="46"/>
      <c r="AO421" s="46"/>
      <c r="AP421" s="46"/>
      <c r="AQ421" s="1"/>
      <c r="AR421" s="15"/>
      <c r="AS421" s="15"/>
      <c r="AT421" s="15"/>
      <c r="AU421" s="15"/>
      <c r="AV421" s="15"/>
      <c r="AW421" s="15"/>
      <c r="AX421" s="15"/>
      <c r="AY421" s="15"/>
      <c r="AZ421" s="15"/>
      <c r="BA421" s="15"/>
      <c r="BB421" s="15"/>
      <c r="BC421" s="15"/>
      <c r="BD421" s="102"/>
      <c r="BE421" s="15"/>
      <c r="BF421" s="15"/>
      <c r="BG421" s="15"/>
      <c r="BH421" s="15"/>
      <c r="BI421" s="15"/>
      <c r="BJ421" s="15"/>
      <c r="BK421" s="15"/>
      <c r="BL421" s="15"/>
      <c r="BM421" s="15"/>
      <c r="BN421" s="15"/>
      <c r="BO421" s="15"/>
      <c r="BP421" s="15"/>
      <c r="BQ421" s="242"/>
      <c r="BR421" s="15"/>
      <c r="BS421" s="15"/>
      <c r="BT421" s="15"/>
      <c r="BU421" s="15"/>
      <c r="BV421" s="15"/>
      <c r="BW421" s="15"/>
      <c r="BX421" s="15"/>
      <c r="BY421" s="15"/>
      <c r="BZ421" s="15"/>
      <c r="CA421" s="15"/>
      <c r="CB421" s="15"/>
      <c r="CC421" s="15"/>
      <c r="CD421" s="15"/>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f t="shared" si="61"/>
        <v>0</v>
      </c>
      <c r="DE421" s="1"/>
      <c r="DF421" s="1"/>
      <c r="DG421" s="1"/>
      <c r="DH421" s="1"/>
      <c r="DI421" s="1"/>
      <c r="DJ421" s="1"/>
      <c r="DK421" s="1"/>
      <c r="DL421" s="1"/>
      <c r="DM421" s="1"/>
      <c r="DN421" s="1"/>
      <c r="DO421" s="1"/>
      <c r="DP421" s="1"/>
      <c r="DQ421" s="1"/>
    </row>
    <row r="422" spans="1:121" x14ac:dyDescent="0.2">
      <c r="A422" s="855"/>
      <c r="B422" s="775"/>
      <c r="C422" s="832"/>
      <c r="D422" s="1" t="s">
        <v>1847</v>
      </c>
      <c r="E422" s="17"/>
      <c r="F422" s="17"/>
      <c r="G422" s="775"/>
      <c r="H422" s="775"/>
      <c r="I422" s="775"/>
      <c r="J422" s="857"/>
      <c r="K422" s="857"/>
      <c r="L422" s="116"/>
      <c r="M422" s="116"/>
      <c r="N422" s="116"/>
      <c r="O422" s="116"/>
      <c r="P422" s="375"/>
      <c r="Q422" s="116"/>
      <c r="R422" s="116"/>
      <c r="S422" s="116"/>
      <c r="T422" s="116"/>
      <c r="U422" s="116"/>
      <c r="V422" s="116"/>
      <c r="W422" s="116"/>
      <c r="X422" s="116"/>
      <c r="Y422" s="116"/>
      <c r="Z422" s="116"/>
      <c r="AA422" s="116"/>
      <c r="AB422" s="116"/>
      <c r="AC422" s="116"/>
      <c r="AD422" s="116"/>
      <c r="AE422" s="116"/>
      <c r="AF422" s="116"/>
      <c r="AG422" s="116"/>
      <c r="AH422" s="1"/>
      <c r="AI422" s="46"/>
      <c r="AJ422" s="46"/>
      <c r="AK422" s="46"/>
      <c r="AL422" s="46"/>
      <c r="AM422" s="46"/>
      <c r="AN422" s="46"/>
      <c r="AO422" s="46"/>
      <c r="AP422" s="46"/>
      <c r="AQ422" s="1"/>
      <c r="AR422" s="15"/>
      <c r="AS422" s="15"/>
      <c r="AT422" s="15"/>
      <c r="AU422" s="15"/>
      <c r="AV422" s="15"/>
      <c r="AW422" s="15"/>
      <c r="AX422" s="15"/>
      <c r="AY422" s="15"/>
      <c r="AZ422" s="15"/>
      <c r="BA422" s="15"/>
      <c r="BB422" s="15"/>
      <c r="BC422" s="15"/>
      <c r="BD422" s="102"/>
      <c r="BE422" s="15"/>
      <c r="BF422" s="15"/>
      <c r="BG422" s="15"/>
      <c r="BH422" s="15"/>
      <c r="BI422" s="15"/>
      <c r="BJ422" s="15"/>
      <c r="BK422" s="15"/>
      <c r="BL422" s="15"/>
      <c r="BM422" s="15"/>
      <c r="BN422" s="15"/>
      <c r="BO422" s="15"/>
      <c r="BP422" s="15"/>
      <c r="BQ422" s="242"/>
      <c r="BR422" s="15"/>
      <c r="BS422" s="15"/>
      <c r="BT422" s="15"/>
      <c r="BU422" s="15"/>
      <c r="BV422" s="15"/>
      <c r="BW422" s="15"/>
      <c r="BX422" s="15"/>
      <c r="BY422" s="15"/>
      <c r="BZ422" s="15"/>
      <c r="CA422" s="15"/>
      <c r="CB422" s="15"/>
      <c r="CC422" s="15"/>
      <c r="CD422" s="15"/>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f t="shared" si="61"/>
        <v>0</v>
      </c>
      <c r="DE422" s="1"/>
      <c r="DF422" s="1"/>
      <c r="DG422" s="1"/>
      <c r="DH422" s="1"/>
      <c r="DI422" s="1"/>
      <c r="DJ422" s="1"/>
      <c r="DK422" s="1"/>
      <c r="DL422" s="1"/>
      <c r="DM422" s="1"/>
      <c r="DN422" s="1"/>
      <c r="DO422" s="1"/>
      <c r="DP422" s="1"/>
      <c r="DQ422" s="1"/>
    </row>
    <row r="423" spans="1:121" x14ac:dyDescent="0.2">
      <c r="A423" s="855"/>
      <c r="B423" s="775"/>
      <c r="C423" s="832"/>
      <c r="D423" s="1" t="s">
        <v>1848</v>
      </c>
      <c r="E423" s="1"/>
      <c r="F423" s="1"/>
      <c r="G423" s="775"/>
      <c r="H423" s="775"/>
      <c r="I423" s="775"/>
      <c r="J423" s="857"/>
      <c r="K423" s="857"/>
      <c r="L423" s="116"/>
      <c r="M423" s="116"/>
      <c r="N423" s="116"/>
      <c r="O423" s="116"/>
      <c r="P423" s="375"/>
      <c r="Q423" s="116"/>
      <c r="R423" s="116"/>
      <c r="S423" s="116"/>
      <c r="T423" s="116"/>
      <c r="U423" s="116"/>
      <c r="V423" s="116"/>
      <c r="W423" s="116"/>
      <c r="X423" s="116"/>
      <c r="Y423" s="116"/>
      <c r="Z423" s="116"/>
      <c r="AA423" s="116"/>
      <c r="AB423" s="116"/>
      <c r="AC423" s="116"/>
      <c r="AD423" s="116"/>
      <c r="AE423" s="116"/>
      <c r="AF423" s="116"/>
      <c r="AG423" s="116"/>
      <c r="AH423" s="1"/>
      <c r="AI423" s="46"/>
      <c r="AJ423" s="46"/>
      <c r="AK423" s="46"/>
      <c r="AL423" s="46"/>
      <c r="AM423" s="46"/>
      <c r="AN423" s="46"/>
      <c r="AO423" s="46"/>
      <c r="AP423" s="46"/>
      <c r="AQ423" s="1"/>
      <c r="AR423" s="15"/>
      <c r="AS423" s="15"/>
      <c r="AT423" s="15"/>
      <c r="AU423" s="15"/>
      <c r="AV423" s="15"/>
      <c r="AW423" s="15"/>
      <c r="AX423" s="15"/>
      <c r="AY423" s="15"/>
      <c r="AZ423" s="15"/>
      <c r="BA423" s="15"/>
      <c r="BB423" s="15"/>
      <c r="BC423" s="15"/>
      <c r="BD423" s="102"/>
      <c r="BE423" s="15"/>
      <c r="BF423" s="15"/>
      <c r="BG423" s="15"/>
      <c r="BH423" s="15"/>
      <c r="BI423" s="15"/>
      <c r="BJ423" s="15"/>
      <c r="BK423" s="15"/>
      <c r="BL423" s="15"/>
      <c r="BM423" s="15"/>
      <c r="BN423" s="15"/>
      <c r="BO423" s="15"/>
      <c r="BP423" s="15"/>
      <c r="BQ423" s="242"/>
      <c r="BR423" s="15"/>
      <c r="BS423" s="15"/>
      <c r="BT423" s="15"/>
      <c r="BU423" s="15"/>
      <c r="BV423" s="15"/>
      <c r="BW423" s="15"/>
      <c r="BX423" s="15"/>
      <c r="BY423" s="15"/>
      <c r="BZ423" s="15"/>
      <c r="CA423" s="15"/>
      <c r="CB423" s="15"/>
      <c r="CC423" s="15"/>
      <c r="CD423" s="15"/>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f t="shared" si="61"/>
        <v>0</v>
      </c>
      <c r="DE423" s="1"/>
      <c r="DF423" s="1"/>
      <c r="DG423" s="1"/>
      <c r="DH423" s="1"/>
      <c r="DI423" s="1"/>
      <c r="DJ423" s="1"/>
      <c r="DK423" s="1"/>
      <c r="DL423" s="1"/>
      <c r="DM423" s="1"/>
      <c r="DN423" s="1"/>
      <c r="DO423" s="1"/>
      <c r="DP423" s="1"/>
      <c r="DQ423" s="1"/>
    </row>
    <row r="424" spans="1:121" x14ac:dyDescent="0.2">
      <c r="A424" s="855"/>
      <c r="B424" s="775"/>
      <c r="C424" s="832"/>
      <c r="D424" s="1" t="s">
        <v>1849</v>
      </c>
      <c r="E424" s="1"/>
      <c r="F424" s="1"/>
      <c r="G424" s="775"/>
      <c r="H424" s="775"/>
      <c r="I424" s="775"/>
      <c r="J424" s="857"/>
      <c r="K424" s="857"/>
      <c r="L424" s="116"/>
      <c r="M424" s="116"/>
      <c r="N424" s="116"/>
      <c r="O424" s="116"/>
      <c r="P424" s="375"/>
      <c r="Q424" s="116"/>
      <c r="R424" s="116"/>
      <c r="S424" s="116"/>
      <c r="T424" s="116"/>
      <c r="U424" s="116"/>
      <c r="V424" s="116"/>
      <c r="W424" s="116"/>
      <c r="X424" s="116"/>
      <c r="Y424" s="116"/>
      <c r="Z424" s="116"/>
      <c r="AA424" s="116"/>
      <c r="AB424" s="116"/>
      <c r="AC424" s="116"/>
      <c r="AD424" s="116"/>
      <c r="AE424" s="116"/>
      <c r="AF424" s="116"/>
      <c r="AG424" s="116"/>
      <c r="AH424" s="1"/>
      <c r="AI424" s="46"/>
      <c r="AJ424" s="46"/>
      <c r="AK424" s="46"/>
      <c r="AL424" s="46"/>
      <c r="AM424" s="46"/>
      <c r="AN424" s="46"/>
      <c r="AO424" s="46"/>
      <c r="AP424" s="46"/>
      <c r="AQ424" s="1"/>
      <c r="AR424" s="15"/>
      <c r="AS424" s="15"/>
      <c r="AT424" s="15"/>
      <c r="AU424" s="15"/>
      <c r="AV424" s="15"/>
      <c r="AW424" s="15"/>
      <c r="AX424" s="15"/>
      <c r="AY424" s="15"/>
      <c r="AZ424" s="15"/>
      <c r="BA424" s="15"/>
      <c r="BB424" s="15"/>
      <c r="BC424" s="15"/>
      <c r="BD424" s="102"/>
      <c r="BE424" s="15"/>
      <c r="BF424" s="15"/>
      <c r="BG424" s="15"/>
      <c r="BH424" s="15"/>
      <c r="BI424" s="15"/>
      <c r="BJ424" s="15"/>
      <c r="BK424" s="15"/>
      <c r="BL424" s="15"/>
      <c r="BM424" s="15"/>
      <c r="BN424" s="15"/>
      <c r="BO424" s="15"/>
      <c r="BP424" s="15"/>
      <c r="BQ424" s="242"/>
      <c r="BR424" s="15"/>
      <c r="BS424" s="15"/>
      <c r="BT424" s="15"/>
      <c r="BU424" s="15"/>
      <c r="BV424" s="15"/>
      <c r="BW424" s="15"/>
      <c r="BX424" s="15"/>
      <c r="BY424" s="15"/>
      <c r="BZ424" s="15"/>
      <c r="CA424" s="15"/>
      <c r="CB424" s="15"/>
      <c r="CC424" s="15"/>
      <c r="CD424" s="15"/>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f t="shared" si="61"/>
        <v>0</v>
      </c>
      <c r="DE424" s="1"/>
      <c r="DF424" s="1"/>
      <c r="DG424" s="1"/>
      <c r="DH424" s="1"/>
      <c r="DI424" s="1"/>
      <c r="DJ424" s="1"/>
      <c r="DK424" s="1"/>
      <c r="DL424" s="1"/>
      <c r="DM424" s="1"/>
      <c r="DN424" s="1"/>
      <c r="DO424" s="1"/>
      <c r="DP424" s="1"/>
      <c r="DQ424" s="1"/>
    </row>
    <row r="425" spans="1:121" x14ac:dyDescent="0.2">
      <c r="A425" s="855"/>
      <c r="B425" s="775"/>
      <c r="C425" s="832"/>
      <c r="D425" s="1" t="s">
        <v>1850</v>
      </c>
      <c r="E425" s="17"/>
      <c r="F425" s="17"/>
      <c r="G425" s="775"/>
      <c r="H425" s="775"/>
      <c r="I425" s="775"/>
      <c r="J425" s="857"/>
      <c r="K425" s="857"/>
      <c r="L425" s="116"/>
      <c r="M425" s="116"/>
      <c r="N425" s="116"/>
      <c r="O425" s="116"/>
      <c r="P425" s="375"/>
      <c r="Q425" s="116"/>
      <c r="R425" s="116"/>
      <c r="S425" s="116"/>
      <c r="T425" s="116"/>
      <c r="U425" s="116"/>
      <c r="V425" s="116"/>
      <c r="W425" s="116"/>
      <c r="X425" s="116"/>
      <c r="Y425" s="116"/>
      <c r="Z425" s="116"/>
      <c r="AA425" s="116"/>
      <c r="AB425" s="116"/>
      <c r="AC425" s="116"/>
      <c r="AD425" s="116"/>
      <c r="AE425" s="116"/>
      <c r="AF425" s="116"/>
      <c r="AG425" s="116"/>
      <c r="AH425" s="1"/>
      <c r="AI425" s="46"/>
      <c r="AJ425" s="46"/>
      <c r="AK425" s="46"/>
      <c r="AL425" s="46"/>
      <c r="AM425" s="46"/>
      <c r="AN425" s="46"/>
      <c r="AO425" s="46"/>
      <c r="AP425" s="46"/>
      <c r="AQ425" s="1"/>
      <c r="AR425" s="15"/>
      <c r="AS425" s="15"/>
      <c r="AT425" s="15"/>
      <c r="AU425" s="15"/>
      <c r="AV425" s="15"/>
      <c r="AW425" s="15"/>
      <c r="AX425" s="15"/>
      <c r="AY425" s="15"/>
      <c r="AZ425" s="15"/>
      <c r="BA425" s="15"/>
      <c r="BB425" s="15"/>
      <c r="BC425" s="15"/>
      <c r="BD425" s="102"/>
      <c r="BE425" s="15"/>
      <c r="BF425" s="15"/>
      <c r="BG425" s="15"/>
      <c r="BH425" s="15"/>
      <c r="BI425" s="15"/>
      <c r="BJ425" s="15"/>
      <c r="BK425" s="15"/>
      <c r="BL425" s="15"/>
      <c r="BM425" s="15"/>
      <c r="BN425" s="15"/>
      <c r="BO425" s="15"/>
      <c r="BP425" s="15"/>
      <c r="BQ425" s="242"/>
      <c r="BR425" s="15"/>
      <c r="BS425" s="15"/>
      <c r="BT425" s="15"/>
      <c r="BU425" s="15"/>
      <c r="BV425" s="15"/>
      <c r="BW425" s="15"/>
      <c r="BX425" s="15"/>
      <c r="BY425" s="15"/>
      <c r="BZ425" s="15"/>
      <c r="CA425" s="15"/>
      <c r="CB425" s="15"/>
      <c r="CC425" s="15"/>
      <c r="CD425" s="15"/>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f t="shared" si="61"/>
        <v>0</v>
      </c>
      <c r="DE425" s="1"/>
      <c r="DF425" s="1"/>
      <c r="DG425" s="1"/>
      <c r="DH425" s="1"/>
      <c r="DI425" s="1"/>
      <c r="DJ425" s="1"/>
      <c r="DK425" s="1"/>
      <c r="DL425" s="1"/>
      <c r="DM425" s="1"/>
      <c r="DN425" s="1"/>
      <c r="DO425" s="1"/>
      <c r="DP425" s="1"/>
      <c r="DQ425" s="1"/>
    </row>
    <row r="426" spans="1:121" x14ac:dyDescent="0.2">
      <c r="A426" s="855"/>
      <c r="B426" s="775"/>
      <c r="C426" s="832"/>
      <c r="D426" s="1" t="s">
        <v>1851</v>
      </c>
      <c r="E426" s="17"/>
      <c r="F426" s="17"/>
      <c r="G426" s="775"/>
      <c r="H426" s="775"/>
      <c r="I426" s="775"/>
      <c r="J426" s="857"/>
      <c r="K426" s="857"/>
      <c r="L426" s="116"/>
      <c r="M426" s="116"/>
      <c r="N426" s="116"/>
      <c r="O426" s="116"/>
      <c r="P426" s="375"/>
      <c r="Q426" s="116"/>
      <c r="R426" s="116"/>
      <c r="S426" s="116"/>
      <c r="T426" s="116"/>
      <c r="U426" s="116"/>
      <c r="V426" s="116"/>
      <c r="W426" s="116"/>
      <c r="X426" s="116"/>
      <c r="Y426" s="116"/>
      <c r="Z426" s="116"/>
      <c r="AA426" s="116"/>
      <c r="AB426" s="116"/>
      <c r="AC426" s="116"/>
      <c r="AD426" s="116"/>
      <c r="AE426" s="116"/>
      <c r="AF426" s="116"/>
      <c r="AG426" s="116"/>
      <c r="AH426" s="1"/>
      <c r="AI426" s="46"/>
      <c r="AJ426" s="46"/>
      <c r="AK426" s="46"/>
      <c r="AL426" s="46"/>
      <c r="AM426" s="46"/>
      <c r="AN426" s="46"/>
      <c r="AO426" s="46"/>
      <c r="AP426" s="46"/>
      <c r="AQ426" s="1"/>
      <c r="AR426" s="15"/>
      <c r="AS426" s="15"/>
      <c r="AT426" s="15"/>
      <c r="AU426" s="15"/>
      <c r="AV426" s="15"/>
      <c r="AW426" s="15"/>
      <c r="AX426" s="15"/>
      <c r="AY426" s="15"/>
      <c r="AZ426" s="15"/>
      <c r="BA426" s="15"/>
      <c r="BB426" s="15"/>
      <c r="BC426" s="15"/>
      <c r="BD426" s="102"/>
      <c r="BE426" s="15"/>
      <c r="BF426" s="15"/>
      <c r="BG426" s="15"/>
      <c r="BH426" s="15"/>
      <c r="BI426" s="15"/>
      <c r="BJ426" s="15"/>
      <c r="BK426" s="15"/>
      <c r="BL426" s="15"/>
      <c r="BM426" s="15"/>
      <c r="BN426" s="15"/>
      <c r="BO426" s="15"/>
      <c r="BP426" s="15"/>
      <c r="BQ426" s="242"/>
      <c r="BR426" s="15"/>
      <c r="BS426" s="15"/>
      <c r="BT426" s="15"/>
      <c r="BU426" s="15"/>
      <c r="BV426" s="15"/>
      <c r="BW426" s="15"/>
      <c r="BX426" s="15"/>
      <c r="BY426" s="15"/>
      <c r="BZ426" s="15"/>
      <c r="CA426" s="15"/>
      <c r="CB426" s="15"/>
      <c r="CC426" s="15"/>
      <c r="CD426" s="15"/>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f t="shared" si="61"/>
        <v>0</v>
      </c>
      <c r="DE426" s="1"/>
      <c r="DF426" s="1"/>
      <c r="DG426" s="1"/>
      <c r="DH426" s="1"/>
      <c r="DI426" s="1"/>
      <c r="DJ426" s="1"/>
      <c r="DK426" s="1"/>
      <c r="DL426" s="1"/>
      <c r="DM426" s="1"/>
      <c r="DN426" s="1"/>
      <c r="DO426" s="1"/>
      <c r="DP426" s="1"/>
      <c r="DQ426" s="1"/>
    </row>
    <row r="427" spans="1:121" s="339" customFormat="1" x14ac:dyDescent="0.2">
      <c r="A427" s="855"/>
      <c r="B427" s="775"/>
      <c r="C427" s="832"/>
      <c r="D427" s="1" t="s">
        <v>1852</v>
      </c>
      <c r="E427" s="118"/>
      <c r="F427" s="118"/>
      <c r="G427" s="775"/>
      <c r="H427" s="775"/>
      <c r="I427" s="775"/>
      <c r="J427" s="857"/>
      <c r="K427" s="857"/>
      <c r="L427" s="116"/>
      <c r="M427" s="116"/>
      <c r="N427" s="116"/>
      <c r="O427" s="116"/>
      <c r="P427" s="375"/>
      <c r="Q427" s="116"/>
      <c r="R427" s="116"/>
      <c r="S427" s="116"/>
      <c r="T427" s="116"/>
      <c r="U427" s="116"/>
      <c r="V427" s="116"/>
      <c r="W427" s="116"/>
      <c r="X427" s="116"/>
      <c r="Y427" s="116"/>
      <c r="Z427" s="116"/>
      <c r="AA427" s="116"/>
      <c r="AB427" s="116"/>
      <c r="AC427" s="116"/>
      <c r="AD427" s="116"/>
      <c r="AE427" s="116"/>
      <c r="AF427" s="116"/>
      <c r="AG427" s="116"/>
      <c r="AH427" s="1"/>
      <c r="AI427" s="46"/>
      <c r="AJ427" s="46"/>
      <c r="AK427" s="46"/>
      <c r="AL427" s="46"/>
      <c r="AM427" s="46"/>
      <c r="AN427" s="46"/>
      <c r="AO427" s="46"/>
      <c r="AP427" s="46"/>
      <c r="AQ427" s="1"/>
      <c r="AR427" s="15"/>
      <c r="AS427" s="15"/>
      <c r="AT427" s="15"/>
      <c r="AU427" s="15"/>
      <c r="AV427" s="15"/>
      <c r="AW427" s="15"/>
      <c r="AX427" s="15"/>
      <c r="AY427" s="15"/>
      <c r="AZ427" s="15"/>
      <c r="BA427" s="15"/>
      <c r="BB427" s="15"/>
      <c r="BC427" s="15"/>
      <c r="BD427" s="102"/>
      <c r="BE427" s="15"/>
      <c r="BF427" s="15"/>
      <c r="BG427" s="15"/>
      <c r="BH427" s="15"/>
      <c r="BI427" s="15"/>
      <c r="BJ427" s="15"/>
      <c r="BK427" s="15"/>
      <c r="BL427" s="15"/>
      <c r="BM427" s="15"/>
      <c r="BN427" s="15"/>
      <c r="BO427" s="15"/>
      <c r="BP427" s="15"/>
      <c r="BQ427" s="242"/>
      <c r="BR427" s="15"/>
      <c r="BS427" s="15"/>
      <c r="BT427" s="15"/>
      <c r="BU427" s="15"/>
      <c r="BV427" s="15"/>
      <c r="BW427" s="15"/>
      <c r="BX427" s="15"/>
      <c r="BY427" s="15"/>
      <c r="BZ427" s="15"/>
      <c r="CA427" s="15"/>
      <c r="CB427" s="15"/>
      <c r="CC427" s="15"/>
      <c r="CD427" s="15"/>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f t="shared" si="61"/>
        <v>0</v>
      </c>
      <c r="DE427" s="118"/>
      <c r="DF427" s="118"/>
      <c r="DG427" s="118"/>
      <c r="DH427" s="118"/>
      <c r="DI427" s="118"/>
      <c r="DJ427" s="118"/>
      <c r="DK427" s="118"/>
      <c r="DL427" s="118"/>
      <c r="DM427" s="118"/>
      <c r="DN427" s="118"/>
      <c r="DO427" s="118"/>
      <c r="DP427" s="118"/>
      <c r="DQ427" s="118"/>
    </row>
    <row r="428" spans="1:121" x14ac:dyDescent="0.2">
      <c r="A428" s="855"/>
      <c r="B428" s="775"/>
      <c r="C428" s="832"/>
      <c r="D428" s="1" t="s">
        <v>1853</v>
      </c>
      <c r="E428" s="1"/>
      <c r="F428" s="1"/>
      <c r="G428" s="775"/>
      <c r="H428" s="775"/>
      <c r="I428" s="775"/>
      <c r="J428" s="857"/>
      <c r="K428" s="857"/>
      <c r="L428" s="116"/>
      <c r="M428" s="116"/>
      <c r="N428" s="116"/>
      <c r="O428" s="116"/>
      <c r="P428" s="375"/>
      <c r="Q428" s="116"/>
      <c r="R428" s="116"/>
      <c r="S428" s="116"/>
      <c r="T428" s="116"/>
      <c r="U428" s="116"/>
      <c r="V428" s="116"/>
      <c r="W428" s="116"/>
      <c r="X428" s="116"/>
      <c r="Y428" s="116"/>
      <c r="Z428" s="116"/>
      <c r="AA428" s="116"/>
      <c r="AB428" s="116"/>
      <c r="AC428" s="116"/>
      <c r="AD428" s="116"/>
      <c r="AE428" s="116"/>
      <c r="AF428" s="116"/>
      <c r="AG428" s="116"/>
      <c r="AH428" s="1"/>
      <c r="AI428" s="46"/>
      <c r="AJ428" s="46"/>
      <c r="AK428" s="46"/>
      <c r="AL428" s="46"/>
      <c r="AM428" s="46"/>
      <c r="AN428" s="46"/>
      <c r="AO428" s="46"/>
      <c r="AP428" s="46"/>
      <c r="AQ428" s="1"/>
      <c r="AR428" s="15"/>
      <c r="AS428" s="15"/>
      <c r="AT428" s="15"/>
      <c r="AU428" s="15"/>
      <c r="AV428" s="15"/>
      <c r="AW428" s="15"/>
      <c r="AX428" s="15"/>
      <c r="AY428" s="15"/>
      <c r="AZ428" s="15"/>
      <c r="BA428" s="15"/>
      <c r="BB428" s="15"/>
      <c r="BC428" s="15"/>
      <c r="BD428" s="102"/>
      <c r="BE428" s="15"/>
      <c r="BF428" s="15"/>
      <c r="BG428" s="15"/>
      <c r="BH428" s="15"/>
      <c r="BI428" s="15"/>
      <c r="BJ428" s="15"/>
      <c r="BK428" s="15"/>
      <c r="BL428" s="15"/>
      <c r="BM428" s="15"/>
      <c r="BN428" s="15"/>
      <c r="BO428" s="15"/>
      <c r="BP428" s="15"/>
      <c r="BQ428" s="242"/>
      <c r="BR428" s="15"/>
      <c r="BS428" s="15"/>
      <c r="BT428" s="15"/>
      <c r="BU428" s="15"/>
      <c r="BV428" s="15"/>
      <c r="BW428" s="15"/>
      <c r="BX428" s="15"/>
      <c r="BY428" s="15"/>
      <c r="BZ428" s="15"/>
      <c r="CA428" s="15"/>
      <c r="CB428" s="15"/>
      <c r="CC428" s="15"/>
      <c r="CD428" s="15"/>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f t="shared" si="61"/>
        <v>0</v>
      </c>
      <c r="DE428" s="1"/>
      <c r="DF428" s="1"/>
      <c r="DG428" s="1"/>
      <c r="DH428" s="1"/>
      <c r="DI428" s="1"/>
      <c r="DJ428" s="1"/>
      <c r="DK428" s="1"/>
      <c r="DL428" s="1"/>
      <c r="DM428" s="1"/>
      <c r="DN428" s="1"/>
      <c r="DO428" s="1"/>
      <c r="DP428" s="1"/>
      <c r="DQ428" s="1"/>
    </row>
    <row r="429" spans="1:121" x14ac:dyDescent="0.2">
      <c r="A429" s="855"/>
      <c r="B429" s="775"/>
      <c r="C429" s="832"/>
      <c r="D429" s="1" t="s">
        <v>1854</v>
      </c>
      <c r="E429" s="17"/>
      <c r="F429" s="17"/>
      <c r="G429" s="775"/>
      <c r="H429" s="775"/>
      <c r="I429" s="775"/>
      <c r="J429" s="857"/>
      <c r="K429" s="857"/>
      <c r="L429" s="116"/>
      <c r="M429" s="116"/>
      <c r="N429" s="116"/>
      <c r="O429" s="116"/>
      <c r="P429" s="375"/>
      <c r="Q429" s="116"/>
      <c r="R429" s="116"/>
      <c r="S429" s="116"/>
      <c r="T429" s="116"/>
      <c r="U429" s="116"/>
      <c r="V429" s="116"/>
      <c r="W429" s="116"/>
      <c r="X429" s="116"/>
      <c r="Y429" s="116"/>
      <c r="Z429" s="116"/>
      <c r="AA429" s="116"/>
      <c r="AB429" s="116"/>
      <c r="AC429" s="116"/>
      <c r="AD429" s="116"/>
      <c r="AE429" s="116"/>
      <c r="AF429" s="116"/>
      <c r="AG429" s="116"/>
      <c r="AH429" s="1"/>
      <c r="AI429" s="46"/>
      <c r="AJ429" s="46"/>
      <c r="AK429" s="46"/>
      <c r="AL429" s="46"/>
      <c r="AM429" s="46"/>
      <c r="AN429" s="46"/>
      <c r="AO429" s="46"/>
      <c r="AP429" s="46"/>
      <c r="AQ429" s="1"/>
      <c r="AR429" s="15"/>
      <c r="AS429" s="15"/>
      <c r="AT429" s="15"/>
      <c r="AU429" s="15"/>
      <c r="AV429" s="15"/>
      <c r="AW429" s="15"/>
      <c r="AX429" s="15"/>
      <c r="AY429" s="15"/>
      <c r="AZ429" s="15"/>
      <c r="BA429" s="15"/>
      <c r="BB429" s="15"/>
      <c r="BC429" s="15"/>
      <c r="BD429" s="102"/>
      <c r="BE429" s="15"/>
      <c r="BF429" s="15"/>
      <c r="BG429" s="15"/>
      <c r="BH429" s="15"/>
      <c r="BI429" s="15"/>
      <c r="BJ429" s="15"/>
      <c r="BK429" s="15"/>
      <c r="BL429" s="15"/>
      <c r="BM429" s="15"/>
      <c r="BN429" s="15"/>
      <c r="BO429" s="15"/>
      <c r="BP429" s="15"/>
      <c r="BQ429" s="242"/>
      <c r="BR429" s="15"/>
      <c r="BS429" s="15"/>
      <c r="BT429" s="15"/>
      <c r="BU429" s="15"/>
      <c r="BV429" s="15"/>
      <c r="BW429" s="15"/>
      <c r="BX429" s="15"/>
      <c r="BY429" s="15"/>
      <c r="BZ429" s="15"/>
      <c r="CA429" s="15"/>
      <c r="CB429" s="15"/>
      <c r="CC429" s="15"/>
      <c r="CD429" s="15"/>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f t="shared" si="61"/>
        <v>0</v>
      </c>
      <c r="DE429" s="1"/>
      <c r="DF429" s="1"/>
      <c r="DG429" s="1"/>
      <c r="DH429" s="1"/>
      <c r="DI429" s="1"/>
      <c r="DJ429" s="1"/>
      <c r="DK429" s="1"/>
      <c r="DL429" s="1"/>
      <c r="DM429" s="1"/>
      <c r="DN429" s="1"/>
      <c r="DO429" s="1"/>
      <c r="DP429" s="1"/>
      <c r="DQ429" s="1"/>
    </row>
    <row r="430" spans="1:121" x14ac:dyDescent="0.2">
      <c r="A430" s="856"/>
      <c r="B430" s="775"/>
      <c r="C430" s="832"/>
      <c r="D430" s="1" t="s">
        <v>1855</v>
      </c>
      <c r="E430" s="17"/>
      <c r="F430" s="17"/>
      <c r="G430" s="775"/>
      <c r="H430" s="775"/>
      <c r="I430" s="775"/>
      <c r="J430" s="857"/>
      <c r="K430" s="857"/>
      <c r="L430" s="116"/>
      <c r="M430" s="116"/>
      <c r="N430" s="116"/>
      <c r="O430" s="116"/>
      <c r="P430" s="375"/>
      <c r="Q430" s="116"/>
      <c r="R430" s="116"/>
      <c r="S430" s="116"/>
      <c r="T430" s="116"/>
      <c r="U430" s="116"/>
      <c r="V430" s="116"/>
      <c r="W430" s="116"/>
      <c r="X430" s="116"/>
      <c r="Y430" s="116"/>
      <c r="Z430" s="116"/>
      <c r="AA430" s="116"/>
      <c r="AB430" s="116"/>
      <c r="AC430" s="116"/>
      <c r="AD430" s="116"/>
      <c r="AE430" s="116"/>
      <c r="AF430" s="116"/>
      <c r="AG430" s="116"/>
      <c r="AH430" s="1"/>
      <c r="AI430" s="46"/>
      <c r="AJ430" s="46"/>
      <c r="AK430" s="46"/>
      <c r="AL430" s="46"/>
      <c r="AM430" s="46"/>
      <c r="AN430" s="46"/>
      <c r="AO430" s="46"/>
      <c r="AP430" s="46"/>
      <c r="AQ430" s="1"/>
      <c r="AR430" s="15"/>
      <c r="AS430" s="15"/>
      <c r="AT430" s="15"/>
      <c r="AU430" s="15"/>
      <c r="AV430" s="15"/>
      <c r="AW430" s="15"/>
      <c r="AX430" s="15"/>
      <c r="AY430" s="15"/>
      <c r="AZ430" s="15"/>
      <c r="BA430" s="15"/>
      <c r="BB430" s="15"/>
      <c r="BC430" s="15"/>
      <c r="BD430" s="102"/>
      <c r="BE430" s="15"/>
      <c r="BF430" s="15"/>
      <c r="BG430" s="15"/>
      <c r="BH430" s="15"/>
      <c r="BI430" s="15"/>
      <c r="BJ430" s="15"/>
      <c r="BK430" s="15"/>
      <c r="BL430" s="15"/>
      <c r="BM430" s="15"/>
      <c r="BN430" s="15"/>
      <c r="BO430" s="15"/>
      <c r="BP430" s="15"/>
      <c r="BQ430" s="242"/>
      <c r="BR430" s="15"/>
      <c r="BS430" s="15"/>
      <c r="BT430" s="15"/>
      <c r="BU430" s="15"/>
      <c r="BV430" s="15"/>
      <c r="BW430" s="15"/>
      <c r="BX430" s="15"/>
      <c r="BY430" s="15"/>
      <c r="BZ430" s="15"/>
      <c r="CA430" s="15"/>
      <c r="CB430" s="15"/>
      <c r="CC430" s="15"/>
      <c r="CD430" s="15"/>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f t="shared" si="61"/>
        <v>0</v>
      </c>
      <c r="DE430" s="1"/>
      <c r="DF430" s="1"/>
      <c r="DG430" s="1"/>
      <c r="DH430" s="1"/>
      <c r="DI430" s="1"/>
      <c r="DJ430" s="1"/>
      <c r="DK430" s="1"/>
      <c r="DL430" s="1"/>
      <c r="DM430" s="1"/>
      <c r="DN430" s="1"/>
      <c r="DO430" s="1"/>
      <c r="DP430" s="1"/>
      <c r="DQ430" s="1"/>
    </row>
    <row r="431" spans="1:121" x14ac:dyDescent="0.2">
      <c r="A431" s="854" t="s">
        <v>1867</v>
      </c>
      <c r="B431" s="775" t="s">
        <v>107</v>
      </c>
      <c r="C431" s="832" t="s">
        <v>1647</v>
      </c>
      <c r="D431" s="1" t="s">
        <v>1856</v>
      </c>
      <c r="E431" s="1"/>
      <c r="F431" s="1"/>
      <c r="G431" s="775" t="s">
        <v>49</v>
      </c>
      <c r="H431" s="775" t="s">
        <v>1306</v>
      </c>
      <c r="I431" s="775" t="s">
        <v>316</v>
      </c>
      <c r="J431" s="857">
        <v>45299</v>
      </c>
      <c r="K431" s="857">
        <v>46395</v>
      </c>
      <c r="L431" s="116"/>
      <c r="M431" s="116"/>
      <c r="N431" s="116"/>
      <c r="O431" s="116"/>
      <c r="P431" s="375"/>
      <c r="Q431" s="116"/>
      <c r="R431" s="116"/>
      <c r="S431" s="116"/>
      <c r="T431" s="116"/>
      <c r="U431" s="116"/>
      <c r="V431" s="116"/>
      <c r="W431" s="116"/>
      <c r="X431" s="116"/>
      <c r="Y431" s="116"/>
      <c r="Z431" s="116"/>
      <c r="AA431" s="116"/>
      <c r="AB431" s="116"/>
      <c r="AC431" s="116"/>
      <c r="AD431" s="116"/>
      <c r="AE431" s="116"/>
      <c r="AF431" s="116"/>
      <c r="AG431" s="116"/>
      <c r="AH431" s="1"/>
      <c r="AI431" s="46"/>
      <c r="AJ431" s="46"/>
      <c r="AK431" s="46"/>
      <c r="AL431" s="46"/>
      <c r="AM431" s="46"/>
      <c r="AN431" s="46"/>
      <c r="AO431" s="46"/>
      <c r="AP431" s="46"/>
      <c r="AQ431" s="1"/>
      <c r="AR431" s="15"/>
      <c r="AS431" s="15"/>
      <c r="AT431" s="15"/>
      <c r="AU431" s="15"/>
      <c r="AV431" s="15"/>
      <c r="AW431" s="15"/>
      <c r="AX431" s="15"/>
      <c r="AY431" s="15"/>
      <c r="AZ431" s="15"/>
      <c r="BA431" s="15"/>
      <c r="BB431" s="15"/>
      <c r="BC431" s="15"/>
      <c r="BD431" s="102"/>
      <c r="BE431" s="15"/>
      <c r="BF431" s="15"/>
      <c r="BG431" s="15"/>
      <c r="BH431" s="15"/>
      <c r="BI431" s="15"/>
      <c r="BJ431" s="15"/>
      <c r="BK431" s="15"/>
      <c r="BL431" s="15"/>
      <c r="BM431" s="15"/>
      <c r="BN431" s="15"/>
      <c r="BO431" s="15"/>
      <c r="BP431" s="15"/>
      <c r="BQ431" s="242"/>
      <c r="BR431" s="15"/>
      <c r="BS431" s="15"/>
      <c r="BT431" s="15"/>
      <c r="BU431" s="15"/>
      <c r="BV431" s="15"/>
      <c r="BW431" s="15"/>
      <c r="BX431" s="15"/>
      <c r="BY431" s="15"/>
      <c r="BZ431" s="15"/>
      <c r="CA431" s="15"/>
      <c r="CB431" s="15"/>
      <c r="CC431" s="15"/>
      <c r="CD431" s="15"/>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f t="shared" si="61"/>
        <v>0</v>
      </c>
      <c r="DE431" s="1"/>
      <c r="DF431" s="1"/>
      <c r="DG431" s="1"/>
      <c r="DH431" s="1"/>
      <c r="DI431" s="1"/>
      <c r="DJ431" s="1"/>
      <c r="DK431" s="1"/>
      <c r="DL431" s="1"/>
      <c r="DM431" s="1"/>
      <c r="DN431" s="1"/>
      <c r="DO431" s="1"/>
      <c r="DP431" s="1"/>
      <c r="DQ431" s="1"/>
    </row>
    <row r="432" spans="1:121" s="624" customFormat="1" x14ac:dyDescent="0.2">
      <c r="A432" s="855"/>
      <c r="B432" s="775"/>
      <c r="C432" s="832"/>
      <c r="D432" s="469" t="s">
        <v>1857</v>
      </c>
      <c r="E432" s="469"/>
      <c r="F432" s="469"/>
      <c r="G432" s="775"/>
      <c r="H432" s="775"/>
      <c r="I432" s="775"/>
      <c r="J432" s="857"/>
      <c r="K432" s="857"/>
      <c r="L432" s="626"/>
      <c r="M432" s="626"/>
      <c r="N432" s="626"/>
      <c r="O432" s="626"/>
      <c r="P432" s="627"/>
      <c r="Q432" s="626"/>
      <c r="R432" s="626"/>
      <c r="S432" s="626"/>
      <c r="T432" s="626"/>
      <c r="U432" s="626"/>
      <c r="V432" s="626"/>
      <c r="W432" s="626"/>
      <c r="X432" s="626"/>
      <c r="Y432" s="626"/>
      <c r="Z432" s="626"/>
      <c r="AA432" s="626"/>
      <c r="AB432" s="626"/>
      <c r="AC432" s="626"/>
      <c r="AD432" s="626"/>
      <c r="AE432" s="626"/>
      <c r="AF432" s="626"/>
      <c r="AG432" s="626"/>
      <c r="AH432" s="469"/>
      <c r="AI432" s="617"/>
      <c r="AJ432" s="617"/>
      <c r="AK432" s="617"/>
      <c r="AL432" s="617"/>
      <c r="AM432" s="617"/>
      <c r="AN432" s="617"/>
      <c r="AO432" s="617"/>
      <c r="AP432" s="617"/>
      <c r="AQ432" s="469"/>
      <c r="AR432" s="618"/>
      <c r="AS432" s="618"/>
      <c r="AT432" s="618"/>
      <c r="AU432" s="618"/>
      <c r="AV432" s="618"/>
      <c r="AW432" s="618"/>
      <c r="AX432" s="618"/>
      <c r="AY432" s="618"/>
      <c r="AZ432" s="618"/>
      <c r="BA432" s="618"/>
      <c r="BB432" s="618"/>
      <c r="BC432" s="618"/>
      <c r="BD432" s="620"/>
      <c r="BE432" s="618"/>
      <c r="BF432" s="618"/>
      <c r="BG432" s="618"/>
      <c r="BH432" s="618"/>
      <c r="BI432" s="618"/>
      <c r="BJ432" s="618"/>
      <c r="BK432" s="618"/>
      <c r="BL432" s="618"/>
      <c r="BM432" s="618"/>
      <c r="BN432" s="618"/>
      <c r="BO432" s="618"/>
      <c r="BP432" s="618"/>
      <c r="BQ432" s="634"/>
      <c r="BR432" s="618"/>
      <c r="BS432" s="618"/>
      <c r="BT432" s="618"/>
      <c r="BU432" s="618"/>
      <c r="BV432" s="618"/>
      <c r="BW432" s="618"/>
      <c r="BX432" s="618"/>
      <c r="BY432" s="618"/>
      <c r="BZ432" s="618"/>
      <c r="CA432" s="618"/>
      <c r="CB432" s="618"/>
      <c r="CC432" s="618"/>
      <c r="CD432" s="618"/>
      <c r="CE432" s="469"/>
      <c r="CF432" s="469"/>
      <c r="CG432" s="469"/>
      <c r="CH432" s="469"/>
      <c r="CI432" s="469"/>
      <c r="CJ432" s="469"/>
      <c r="CK432" s="469"/>
      <c r="CL432" s="469"/>
      <c r="CM432" s="469"/>
      <c r="CN432" s="469"/>
      <c r="CO432" s="469"/>
      <c r="CP432" s="469"/>
      <c r="CQ432" s="469"/>
      <c r="CR432" s="469"/>
      <c r="CS432" s="469"/>
      <c r="CT432" s="469"/>
      <c r="CU432" s="469"/>
      <c r="CV432" s="469"/>
      <c r="CW432" s="469"/>
      <c r="CX432" s="469"/>
      <c r="CY432" s="469"/>
      <c r="CZ432" s="469"/>
      <c r="DA432" s="469"/>
      <c r="DB432" s="469">
        <v>75542.350000000006</v>
      </c>
      <c r="DC432" s="469"/>
      <c r="DD432" s="469">
        <f t="shared" si="61"/>
        <v>75542.350000000006</v>
      </c>
      <c r="DE432" s="469"/>
      <c r="DF432" s="469"/>
      <c r="DG432" s="469"/>
      <c r="DH432" s="469"/>
      <c r="DI432" s="469"/>
      <c r="DJ432" s="469">
        <v>32324.5</v>
      </c>
      <c r="DK432" s="469"/>
      <c r="DL432" s="469">
        <v>31888.5</v>
      </c>
      <c r="DM432" s="469"/>
      <c r="DN432" s="469"/>
      <c r="DO432" s="469"/>
      <c r="DP432" s="469"/>
      <c r="DQ432" s="469"/>
    </row>
    <row r="433" spans="1:121" x14ac:dyDescent="0.2">
      <c r="A433" s="855"/>
      <c r="B433" s="775"/>
      <c r="C433" s="832"/>
      <c r="D433" s="1" t="s">
        <v>1858</v>
      </c>
      <c r="E433" s="1"/>
      <c r="F433" s="1"/>
      <c r="G433" s="775"/>
      <c r="H433" s="775"/>
      <c r="I433" s="775"/>
      <c r="J433" s="857"/>
      <c r="K433" s="857"/>
      <c r="L433" s="116"/>
      <c r="M433" s="116"/>
      <c r="N433" s="116"/>
      <c r="O433" s="116"/>
      <c r="P433" s="375"/>
      <c r="Q433" s="116"/>
      <c r="R433" s="116"/>
      <c r="S433" s="116"/>
      <c r="T433" s="116"/>
      <c r="U433" s="116"/>
      <c r="V433" s="116"/>
      <c r="W433" s="116"/>
      <c r="X433" s="116"/>
      <c r="Y433" s="116"/>
      <c r="Z433" s="116"/>
      <c r="AA433" s="116"/>
      <c r="AB433" s="116"/>
      <c r="AC433" s="116"/>
      <c r="AD433" s="116"/>
      <c r="AE433" s="116"/>
      <c r="AF433" s="116"/>
      <c r="AG433" s="116"/>
      <c r="AH433" s="1"/>
      <c r="AI433" s="46"/>
      <c r="AJ433" s="46"/>
      <c r="AK433" s="46"/>
      <c r="AL433" s="46"/>
      <c r="AM433" s="46"/>
      <c r="AN433" s="46"/>
      <c r="AO433" s="46"/>
      <c r="AP433" s="46"/>
      <c r="AQ433" s="1"/>
      <c r="AR433" s="15"/>
      <c r="AS433" s="15"/>
      <c r="AT433" s="15"/>
      <c r="AU433" s="15"/>
      <c r="AV433" s="15"/>
      <c r="AW433" s="15"/>
      <c r="AX433" s="15"/>
      <c r="AY433" s="15"/>
      <c r="AZ433" s="15"/>
      <c r="BA433" s="15"/>
      <c r="BB433" s="15"/>
      <c r="BC433" s="15"/>
      <c r="BD433" s="102"/>
      <c r="BE433" s="15"/>
      <c r="BF433" s="15"/>
      <c r="BG433" s="15"/>
      <c r="BH433" s="15"/>
      <c r="BI433" s="15"/>
      <c r="BJ433" s="15"/>
      <c r="BK433" s="15"/>
      <c r="BL433" s="15"/>
      <c r="BM433" s="15"/>
      <c r="BN433" s="15"/>
      <c r="BO433" s="15"/>
      <c r="BP433" s="15"/>
      <c r="BQ433" s="242"/>
      <c r="BR433" s="15"/>
      <c r="BS433" s="15"/>
      <c r="BT433" s="15"/>
      <c r="BU433" s="15"/>
      <c r="BV433" s="15"/>
      <c r="BW433" s="15"/>
      <c r="BX433" s="15"/>
      <c r="BY433" s="15"/>
      <c r="BZ433" s="15"/>
      <c r="CA433" s="15"/>
      <c r="CB433" s="15"/>
      <c r="CC433" s="15"/>
      <c r="CD433" s="15"/>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f t="shared" si="61"/>
        <v>0</v>
      </c>
      <c r="DE433" s="1"/>
      <c r="DF433" s="1"/>
      <c r="DG433" s="1"/>
      <c r="DH433" s="1"/>
      <c r="DI433" s="1"/>
      <c r="DJ433" s="1"/>
      <c r="DK433" s="1"/>
      <c r="DL433" s="1"/>
      <c r="DM433" s="1"/>
      <c r="DN433" s="1"/>
      <c r="DO433" s="1"/>
      <c r="DP433" s="1"/>
      <c r="DQ433" s="1"/>
    </row>
    <row r="434" spans="1:121" s="624" customFormat="1" x14ac:dyDescent="0.2">
      <c r="A434" s="855"/>
      <c r="B434" s="775"/>
      <c r="C434" s="832"/>
      <c r="D434" s="469" t="s">
        <v>1859</v>
      </c>
      <c r="E434" s="469"/>
      <c r="F434" s="469"/>
      <c r="G434" s="775"/>
      <c r="H434" s="775"/>
      <c r="I434" s="775"/>
      <c r="J434" s="857"/>
      <c r="K434" s="857"/>
      <c r="L434" s="626"/>
      <c r="M434" s="626"/>
      <c r="N434" s="626"/>
      <c r="O434" s="626"/>
      <c r="P434" s="627"/>
      <c r="Q434" s="626"/>
      <c r="R434" s="626"/>
      <c r="S434" s="626"/>
      <c r="T434" s="626"/>
      <c r="U434" s="626"/>
      <c r="V434" s="626"/>
      <c r="W434" s="626"/>
      <c r="X434" s="626"/>
      <c r="Y434" s="626"/>
      <c r="Z434" s="626"/>
      <c r="AA434" s="626"/>
      <c r="AB434" s="626"/>
      <c r="AC434" s="626"/>
      <c r="AD434" s="626"/>
      <c r="AE434" s="626"/>
      <c r="AF434" s="626"/>
      <c r="AG434" s="626"/>
      <c r="AH434" s="469"/>
      <c r="AI434" s="617"/>
      <c r="AJ434" s="617"/>
      <c r="AK434" s="617"/>
      <c r="AL434" s="617"/>
      <c r="AM434" s="617"/>
      <c r="AN434" s="617"/>
      <c r="AO434" s="617"/>
      <c r="AP434" s="617"/>
      <c r="AQ434" s="469"/>
      <c r="AR434" s="618"/>
      <c r="AS434" s="618"/>
      <c r="AT434" s="618"/>
      <c r="AU434" s="618"/>
      <c r="AV434" s="618"/>
      <c r="AW434" s="618"/>
      <c r="AX434" s="618"/>
      <c r="AY434" s="618"/>
      <c r="AZ434" s="618"/>
      <c r="BA434" s="618"/>
      <c r="BB434" s="618"/>
      <c r="BC434" s="618"/>
      <c r="BD434" s="620"/>
      <c r="BE434" s="618"/>
      <c r="BF434" s="618"/>
      <c r="BG434" s="618"/>
      <c r="BH434" s="618"/>
      <c r="BI434" s="618"/>
      <c r="BJ434" s="618"/>
      <c r="BK434" s="618"/>
      <c r="BL434" s="618"/>
      <c r="BM434" s="618"/>
      <c r="BN434" s="618"/>
      <c r="BO434" s="618"/>
      <c r="BP434" s="618"/>
      <c r="BQ434" s="634"/>
      <c r="BR434" s="618"/>
      <c r="BS434" s="618"/>
      <c r="BT434" s="618"/>
      <c r="BU434" s="618"/>
      <c r="BV434" s="618"/>
      <c r="BW434" s="618"/>
      <c r="BX434" s="618"/>
      <c r="BY434" s="618"/>
      <c r="BZ434" s="618"/>
      <c r="CA434" s="618"/>
      <c r="CB434" s="618"/>
      <c r="CC434" s="618"/>
      <c r="CD434" s="618"/>
      <c r="CE434" s="469"/>
      <c r="CF434" s="469"/>
      <c r="CG434" s="469"/>
      <c r="CH434" s="469"/>
      <c r="CI434" s="469"/>
      <c r="CJ434" s="469"/>
      <c r="CK434" s="469"/>
      <c r="CL434" s="469"/>
      <c r="CM434" s="469"/>
      <c r="CN434" s="469"/>
      <c r="CO434" s="469"/>
      <c r="CP434" s="469"/>
      <c r="CQ434" s="469"/>
      <c r="CR434" s="469"/>
      <c r="CS434" s="469"/>
      <c r="CT434" s="469"/>
      <c r="CU434" s="469"/>
      <c r="CV434" s="469"/>
      <c r="CW434" s="469"/>
      <c r="CX434" s="469"/>
      <c r="CY434" s="469"/>
      <c r="CZ434" s="469"/>
      <c r="DA434" s="469"/>
      <c r="DB434" s="469"/>
      <c r="DC434" s="469"/>
      <c r="DD434" s="469">
        <f t="shared" ref="DD434:DD442" si="62">SUM(CR434:DC434)</f>
        <v>0</v>
      </c>
      <c r="DE434" s="469"/>
      <c r="DF434" s="469"/>
      <c r="DG434" s="469"/>
      <c r="DH434" s="469"/>
      <c r="DI434" s="469"/>
      <c r="DJ434" s="469"/>
      <c r="DK434" s="469"/>
      <c r="DL434" s="469"/>
      <c r="DM434" s="469">
        <v>117674.25</v>
      </c>
      <c r="DN434" s="469"/>
      <c r="DO434" s="469"/>
      <c r="DP434" s="469"/>
      <c r="DQ434" s="469"/>
    </row>
    <row r="435" spans="1:121" x14ac:dyDescent="0.2">
      <c r="A435" s="855"/>
      <c r="B435" s="775"/>
      <c r="C435" s="832"/>
      <c r="D435" s="1" t="s">
        <v>1860</v>
      </c>
      <c r="E435" s="1"/>
      <c r="F435" s="1"/>
      <c r="G435" s="775"/>
      <c r="H435" s="775"/>
      <c r="I435" s="775"/>
      <c r="J435" s="857"/>
      <c r="K435" s="857"/>
      <c r="L435" s="116"/>
      <c r="M435" s="116"/>
      <c r="N435" s="116"/>
      <c r="O435" s="116"/>
      <c r="P435" s="375"/>
      <c r="Q435" s="116"/>
      <c r="R435" s="116"/>
      <c r="S435" s="116"/>
      <c r="T435" s="116"/>
      <c r="U435" s="116"/>
      <c r="V435" s="116"/>
      <c r="W435" s="116"/>
      <c r="X435" s="116"/>
      <c r="Y435" s="116"/>
      <c r="Z435" s="116"/>
      <c r="AA435" s="116"/>
      <c r="AB435" s="116"/>
      <c r="AC435" s="116"/>
      <c r="AD435" s="116"/>
      <c r="AE435" s="116"/>
      <c r="AF435" s="116"/>
      <c r="AG435" s="116"/>
      <c r="AH435" s="1"/>
      <c r="AI435" s="46"/>
      <c r="AJ435" s="46"/>
      <c r="AK435" s="46"/>
      <c r="AL435" s="46"/>
      <c r="AM435" s="46"/>
      <c r="AN435" s="46"/>
      <c r="AO435" s="46"/>
      <c r="AP435" s="46"/>
      <c r="AQ435" s="1"/>
      <c r="AR435" s="15"/>
      <c r="AS435" s="15"/>
      <c r="AT435" s="15"/>
      <c r="AU435" s="15"/>
      <c r="AV435" s="15"/>
      <c r="AW435" s="15"/>
      <c r="AX435" s="15"/>
      <c r="AY435" s="15"/>
      <c r="AZ435" s="15"/>
      <c r="BA435" s="15"/>
      <c r="BB435" s="15"/>
      <c r="BC435" s="15"/>
      <c r="BD435" s="102"/>
      <c r="BE435" s="15"/>
      <c r="BF435" s="15"/>
      <c r="BG435" s="15"/>
      <c r="BH435" s="15"/>
      <c r="BI435" s="15"/>
      <c r="BJ435" s="15"/>
      <c r="BK435" s="15"/>
      <c r="BL435" s="15"/>
      <c r="BM435" s="15"/>
      <c r="BN435" s="15"/>
      <c r="BO435" s="15"/>
      <c r="BP435" s="15"/>
      <c r="BQ435" s="242"/>
      <c r="BR435" s="15"/>
      <c r="BS435" s="15"/>
      <c r="BT435" s="15"/>
      <c r="BU435" s="15"/>
      <c r="BV435" s="15"/>
      <c r="BW435" s="15"/>
      <c r="BX435" s="15"/>
      <c r="BY435" s="15"/>
      <c r="BZ435" s="15"/>
      <c r="CA435" s="15"/>
      <c r="CB435" s="15"/>
      <c r="CC435" s="15"/>
      <c r="CD435" s="15"/>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f t="shared" si="62"/>
        <v>0</v>
      </c>
      <c r="DE435" s="1"/>
      <c r="DF435" s="1"/>
      <c r="DG435" s="1"/>
      <c r="DH435" s="1"/>
      <c r="DI435" s="1"/>
      <c r="DJ435" s="1"/>
      <c r="DK435" s="1"/>
      <c r="DL435" s="1"/>
      <c r="DM435" s="1"/>
      <c r="DN435" s="1"/>
      <c r="DO435" s="1"/>
      <c r="DP435" s="1"/>
      <c r="DQ435" s="1"/>
    </row>
    <row r="436" spans="1:121" x14ac:dyDescent="0.2">
      <c r="A436" s="855"/>
      <c r="B436" s="775"/>
      <c r="C436" s="832"/>
      <c r="D436" s="1" t="s">
        <v>1861</v>
      </c>
      <c r="E436" s="1"/>
      <c r="F436" s="1"/>
      <c r="G436" s="775"/>
      <c r="H436" s="775"/>
      <c r="I436" s="775"/>
      <c r="J436" s="857"/>
      <c r="K436" s="857"/>
      <c r="L436" s="116"/>
      <c r="M436" s="116"/>
      <c r="N436" s="116"/>
      <c r="O436" s="116"/>
      <c r="P436" s="375"/>
      <c r="Q436" s="116"/>
      <c r="R436" s="116"/>
      <c r="S436" s="116"/>
      <c r="T436" s="116"/>
      <c r="U436" s="116"/>
      <c r="V436" s="116"/>
      <c r="W436" s="116"/>
      <c r="X436" s="116"/>
      <c r="Y436" s="116"/>
      <c r="Z436" s="116"/>
      <c r="AA436" s="116"/>
      <c r="AB436" s="116"/>
      <c r="AC436" s="116"/>
      <c r="AD436" s="116"/>
      <c r="AE436" s="116"/>
      <c r="AF436" s="116"/>
      <c r="AG436" s="116"/>
      <c r="AH436" s="1"/>
      <c r="AI436" s="46"/>
      <c r="AJ436" s="46"/>
      <c r="AK436" s="46"/>
      <c r="AL436" s="46"/>
      <c r="AM436" s="46"/>
      <c r="AN436" s="46"/>
      <c r="AO436" s="46"/>
      <c r="AP436" s="46"/>
      <c r="AQ436" s="1"/>
      <c r="AR436" s="15"/>
      <c r="AS436" s="15"/>
      <c r="AT436" s="15"/>
      <c r="AU436" s="15"/>
      <c r="AV436" s="15"/>
      <c r="AW436" s="15"/>
      <c r="AX436" s="15"/>
      <c r="AY436" s="15"/>
      <c r="AZ436" s="15"/>
      <c r="BA436" s="15"/>
      <c r="BB436" s="15"/>
      <c r="BC436" s="15"/>
      <c r="BD436" s="102"/>
      <c r="BE436" s="15"/>
      <c r="BF436" s="15"/>
      <c r="BG436" s="15"/>
      <c r="BH436" s="15"/>
      <c r="BI436" s="15"/>
      <c r="BJ436" s="15"/>
      <c r="BK436" s="15"/>
      <c r="BL436" s="15"/>
      <c r="BM436" s="15"/>
      <c r="BN436" s="15"/>
      <c r="BO436" s="15"/>
      <c r="BP436" s="15"/>
      <c r="BQ436" s="242"/>
      <c r="BR436" s="15"/>
      <c r="BS436" s="15"/>
      <c r="BT436" s="15"/>
      <c r="BU436" s="15"/>
      <c r="BV436" s="15"/>
      <c r="BW436" s="15"/>
      <c r="BX436" s="15"/>
      <c r="BY436" s="15"/>
      <c r="BZ436" s="15"/>
      <c r="CA436" s="15"/>
      <c r="CB436" s="15"/>
      <c r="CC436" s="15"/>
      <c r="CD436" s="15"/>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f t="shared" si="62"/>
        <v>0</v>
      </c>
      <c r="DE436" s="1"/>
      <c r="DF436" s="1"/>
      <c r="DG436" s="1"/>
      <c r="DH436" s="1"/>
      <c r="DI436" s="1"/>
      <c r="DJ436" s="1"/>
      <c r="DK436" s="1"/>
      <c r="DL436" s="1"/>
      <c r="DM436" s="1"/>
      <c r="DN436" s="1"/>
      <c r="DO436" s="1"/>
      <c r="DP436" s="1"/>
      <c r="DQ436" s="1"/>
    </row>
    <row r="437" spans="1:121" x14ac:dyDescent="0.2">
      <c r="A437" s="855"/>
      <c r="B437" s="775"/>
      <c r="C437" s="832"/>
      <c r="D437" s="1" t="s">
        <v>1862</v>
      </c>
      <c r="E437" s="1"/>
      <c r="F437" s="1"/>
      <c r="G437" s="775"/>
      <c r="H437" s="775"/>
      <c r="I437" s="775"/>
      <c r="J437" s="857"/>
      <c r="K437" s="857"/>
      <c r="L437" s="116"/>
      <c r="M437" s="116"/>
      <c r="N437" s="116"/>
      <c r="O437" s="116"/>
      <c r="P437" s="375"/>
      <c r="Q437" s="116"/>
      <c r="R437" s="116"/>
      <c r="S437" s="116"/>
      <c r="T437" s="116"/>
      <c r="U437" s="116"/>
      <c r="V437" s="116"/>
      <c r="W437" s="116"/>
      <c r="X437" s="116"/>
      <c r="Y437" s="116"/>
      <c r="Z437" s="116"/>
      <c r="AA437" s="116"/>
      <c r="AB437" s="116"/>
      <c r="AC437" s="116"/>
      <c r="AD437" s="116"/>
      <c r="AE437" s="116"/>
      <c r="AF437" s="116"/>
      <c r="AG437" s="116"/>
      <c r="AH437" s="1"/>
      <c r="AI437" s="46"/>
      <c r="AJ437" s="46"/>
      <c r="AK437" s="46"/>
      <c r="AL437" s="46"/>
      <c r="AM437" s="46"/>
      <c r="AN437" s="46"/>
      <c r="AO437" s="46"/>
      <c r="AP437" s="46"/>
      <c r="AQ437" s="1"/>
      <c r="AR437" s="15"/>
      <c r="AS437" s="15"/>
      <c r="AT437" s="15"/>
      <c r="AU437" s="15"/>
      <c r="AV437" s="15"/>
      <c r="AW437" s="15"/>
      <c r="AX437" s="15"/>
      <c r="AY437" s="15"/>
      <c r="AZ437" s="15"/>
      <c r="BA437" s="15"/>
      <c r="BB437" s="15"/>
      <c r="BC437" s="15"/>
      <c r="BD437" s="102"/>
      <c r="BE437" s="15"/>
      <c r="BF437" s="15"/>
      <c r="BG437" s="15"/>
      <c r="BH437" s="15"/>
      <c r="BI437" s="15"/>
      <c r="BJ437" s="15"/>
      <c r="BK437" s="15"/>
      <c r="BL437" s="15"/>
      <c r="BM437" s="15"/>
      <c r="BN437" s="15"/>
      <c r="BO437" s="15"/>
      <c r="BP437" s="15"/>
      <c r="BQ437" s="242"/>
      <c r="BR437" s="15"/>
      <c r="BS437" s="15"/>
      <c r="BT437" s="15"/>
      <c r="BU437" s="15"/>
      <c r="BV437" s="15"/>
      <c r="BW437" s="15"/>
      <c r="BX437" s="15"/>
      <c r="BY437" s="15"/>
      <c r="BZ437" s="15"/>
      <c r="CA437" s="15"/>
      <c r="CB437" s="15"/>
      <c r="CC437" s="15"/>
      <c r="CD437" s="15"/>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f t="shared" si="62"/>
        <v>0</v>
      </c>
      <c r="DE437" s="1"/>
      <c r="DF437" s="1"/>
      <c r="DG437" s="1"/>
      <c r="DH437" s="1"/>
      <c r="DI437" s="1"/>
      <c r="DJ437" s="1"/>
      <c r="DK437" s="1"/>
      <c r="DL437" s="1"/>
      <c r="DM437" s="1"/>
      <c r="DN437" s="1"/>
      <c r="DO437" s="1"/>
      <c r="DP437" s="1"/>
      <c r="DQ437" s="1"/>
    </row>
    <row r="438" spans="1:121" x14ac:dyDescent="0.2">
      <c r="A438" s="855"/>
      <c r="B438" s="775"/>
      <c r="C438" s="832"/>
      <c r="D438" s="1" t="s">
        <v>1863</v>
      </c>
      <c r="E438" s="1"/>
      <c r="F438" s="1"/>
      <c r="G438" s="775"/>
      <c r="H438" s="775"/>
      <c r="I438" s="775"/>
      <c r="J438" s="857"/>
      <c r="K438" s="857"/>
      <c r="L438" s="116"/>
      <c r="M438" s="116"/>
      <c r="N438" s="116"/>
      <c r="O438" s="116"/>
      <c r="P438" s="375"/>
      <c r="Q438" s="116"/>
      <c r="R438" s="116"/>
      <c r="S438" s="116"/>
      <c r="T438" s="116"/>
      <c r="U438" s="116"/>
      <c r="V438" s="116"/>
      <c r="W438" s="116"/>
      <c r="X438" s="116"/>
      <c r="Y438" s="116"/>
      <c r="Z438" s="116"/>
      <c r="AA438" s="116"/>
      <c r="AB438" s="116"/>
      <c r="AC438" s="116"/>
      <c r="AD438" s="116"/>
      <c r="AE438" s="116"/>
      <c r="AF438" s="116"/>
      <c r="AG438" s="116"/>
      <c r="AH438" s="1"/>
      <c r="AI438" s="46"/>
      <c r="AJ438" s="46"/>
      <c r="AK438" s="46"/>
      <c r="AL438" s="46"/>
      <c r="AM438" s="46"/>
      <c r="AN438" s="46"/>
      <c r="AO438" s="46"/>
      <c r="AP438" s="46"/>
      <c r="AQ438" s="1"/>
      <c r="AR438" s="15"/>
      <c r="AS438" s="15"/>
      <c r="AT438" s="15"/>
      <c r="AU438" s="15"/>
      <c r="AV438" s="15"/>
      <c r="AW438" s="15"/>
      <c r="AX438" s="15"/>
      <c r="AY438" s="15"/>
      <c r="AZ438" s="15"/>
      <c r="BA438" s="15"/>
      <c r="BB438" s="15"/>
      <c r="BC438" s="15"/>
      <c r="BD438" s="102"/>
      <c r="BE438" s="15"/>
      <c r="BF438" s="15"/>
      <c r="BG438" s="15"/>
      <c r="BH438" s="15"/>
      <c r="BI438" s="15"/>
      <c r="BJ438" s="15"/>
      <c r="BK438" s="15"/>
      <c r="BL438" s="15"/>
      <c r="BM438" s="15"/>
      <c r="BN438" s="15"/>
      <c r="BO438" s="15"/>
      <c r="BP438" s="15"/>
      <c r="BQ438" s="242"/>
      <c r="BR438" s="15"/>
      <c r="BS438" s="15"/>
      <c r="BT438" s="15"/>
      <c r="BU438" s="15"/>
      <c r="BV438" s="15"/>
      <c r="BW438" s="15"/>
      <c r="BX438" s="15"/>
      <c r="BY438" s="15"/>
      <c r="BZ438" s="15"/>
      <c r="CA438" s="15"/>
      <c r="CB438" s="15"/>
      <c r="CC438" s="15"/>
      <c r="CD438" s="15"/>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f t="shared" si="62"/>
        <v>0</v>
      </c>
      <c r="DE438" s="1"/>
      <c r="DF438" s="1"/>
      <c r="DG438" s="1"/>
      <c r="DH438" s="1"/>
      <c r="DI438" s="1"/>
      <c r="DJ438" s="1"/>
      <c r="DK438" s="1"/>
      <c r="DL438" s="1"/>
      <c r="DM438" s="1"/>
      <c r="DN438" s="1"/>
      <c r="DO438" s="1"/>
      <c r="DP438" s="1"/>
      <c r="DQ438" s="1"/>
    </row>
    <row r="439" spans="1:121" x14ac:dyDescent="0.2">
      <c r="A439" s="855"/>
      <c r="B439" s="775"/>
      <c r="C439" s="832"/>
      <c r="D439" s="1" t="s">
        <v>1864</v>
      </c>
      <c r="E439" s="1"/>
      <c r="F439" s="1"/>
      <c r="G439" s="775"/>
      <c r="H439" s="775"/>
      <c r="I439" s="775"/>
      <c r="J439" s="857"/>
      <c r="K439" s="857"/>
      <c r="L439" s="116"/>
      <c r="M439" s="116"/>
      <c r="N439" s="116"/>
      <c r="O439" s="116"/>
      <c r="P439" s="375"/>
      <c r="Q439" s="116"/>
      <c r="R439" s="116"/>
      <c r="S439" s="116"/>
      <c r="T439" s="116"/>
      <c r="U439" s="116"/>
      <c r="V439" s="116"/>
      <c r="W439" s="116"/>
      <c r="X439" s="116"/>
      <c r="Y439" s="116"/>
      <c r="Z439" s="116"/>
      <c r="AA439" s="116"/>
      <c r="AB439" s="116"/>
      <c r="AC439" s="116"/>
      <c r="AD439" s="116"/>
      <c r="AE439" s="116"/>
      <c r="AF439" s="116"/>
      <c r="AG439" s="116"/>
      <c r="AH439" s="1"/>
      <c r="AI439" s="46"/>
      <c r="AJ439" s="46"/>
      <c r="AK439" s="46"/>
      <c r="AL439" s="46"/>
      <c r="AM439" s="46"/>
      <c r="AN439" s="46"/>
      <c r="AO439" s="46"/>
      <c r="AP439" s="46"/>
      <c r="AQ439" s="1"/>
      <c r="AR439" s="15"/>
      <c r="AS439" s="15"/>
      <c r="AT439" s="15"/>
      <c r="AU439" s="15"/>
      <c r="AV439" s="15"/>
      <c r="AW439" s="15"/>
      <c r="AX439" s="15"/>
      <c r="AY439" s="15"/>
      <c r="AZ439" s="15"/>
      <c r="BA439" s="15"/>
      <c r="BB439" s="15"/>
      <c r="BC439" s="15"/>
      <c r="BD439" s="102"/>
      <c r="BE439" s="15"/>
      <c r="BF439" s="15"/>
      <c r="BG439" s="15"/>
      <c r="BH439" s="15"/>
      <c r="BI439" s="15"/>
      <c r="BJ439" s="15"/>
      <c r="BK439" s="15"/>
      <c r="BL439" s="15"/>
      <c r="BM439" s="15"/>
      <c r="BN439" s="15"/>
      <c r="BO439" s="15"/>
      <c r="BP439" s="15"/>
      <c r="BQ439" s="242"/>
      <c r="BR439" s="15"/>
      <c r="BS439" s="15"/>
      <c r="BT439" s="15"/>
      <c r="BU439" s="15"/>
      <c r="BV439" s="15"/>
      <c r="BW439" s="15"/>
      <c r="BX439" s="15"/>
      <c r="BY439" s="15"/>
      <c r="BZ439" s="15"/>
      <c r="CA439" s="15"/>
      <c r="CB439" s="15"/>
      <c r="CC439" s="15"/>
      <c r="CD439" s="15"/>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f t="shared" si="62"/>
        <v>0</v>
      </c>
      <c r="DE439" s="1"/>
      <c r="DF439" s="1"/>
      <c r="DG439" s="1"/>
      <c r="DH439" s="1"/>
      <c r="DI439" s="1"/>
      <c r="DJ439" s="1"/>
      <c r="DK439" s="1"/>
      <c r="DL439" s="1"/>
      <c r="DM439" s="1"/>
      <c r="DN439" s="1"/>
      <c r="DO439" s="1"/>
      <c r="DP439" s="1"/>
      <c r="DQ439" s="1"/>
    </row>
    <row r="440" spans="1:121" s="624" customFormat="1" x14ac:dyDescent="0.2">
      <c r="A440" s="856"/>
      <c r="B440" s="775"/>
      <c r="C440" s="832"/>
      <c r="D440" s="469" t="s">
        <v>1865</v>
      </c>
      <c r="E440" s="469"/>
      <c r="F440" s="469"/>
      <c r="G440" s="775"/>
      <c r="H440" s="775"/>
      <c r="I440" s="775"/>
      <c r="J440" s="857"/>
      <c r="K440" s="857"/>
      <c r="L440" s="626"/>
      <c r="M440" s="626"/>
      <c r="N440" s="626"/>
      <c r="O440" s="626"/>
      <c r="P440" s="627"/>
      <c r="Q440" s="626"/>
      <c r="R440" s="626"/>
      <c r="S440" s="626"/>
      <c r="T440" s="626"/>
      <c r="U440" s="626"/>
      <c r="V440" s="626"/>
      <c r="W440" s="626"/>
      <c r="X440" s="626"/>
      <c r="Y440" s="626"/>
      <c r="Z440" s="626"/>
      <c r="AA440" s="626"/>
      <c r="AB440" s="626"/>
      <c r="AC440" s="626"/>
      <c r="AD440" s="626"/>
      <c r="AE440" s="626"/>
      <c r="AF440" s="626"/>
      <c r="AG440" s="626"/>
      <c r="AH440" s="469"/>
      <c r="AI440" s="617"/>
      <c r="AJ440" s="617"/>
      <c r="AK440" s="617"/>
      <c r="AL440" s="617"/>
      <c r="AM440" s="617"/>
      <c r="AN440" s="617"/>
      <c r="AO440" s="617"/>
      <c r="AP440" s="617"/>
      <c r="AQ440" s="469"/>
      <c r="AR440" s="618"/>
      <c r="AS440" s="618"/>
      <c r="AT440" s="618"/>
      <c r="AU440" s="618"/>
      <c r="AV440" s="618"/>
      <c r="AW440" s="618"/>
      <c r="AX440" s="618"/>
      <c r="AY440" s="618"/>
      <c r="AZ440" s="618"/>
      <c r="BA440" s="618"/>
      <c r="BB440" s="618"/>
      <c r="BC440" s="618"/>
      <c r="BD440" s="620"/>
      <c r="BE440" s="618"/>
      <c r="BF440" s="618"/>
      <c r="BG440" s="618"/>
      <c r="BH440" s="618"/>
      <c r="BI440" s="618"/>
      <c r="BJ440" s="618"/>
      <c r="BK440" s="618"/>
      <c r="BL440" s="618"/>
      <c r="BM440" s="618"/>
      <c r="BN440" s="618"/>
      <c r="BO440" s="618"/>
      <c r="BP440" s="618"/>
      <c r="BQ440" s="634"/>
      <c r="BR440" s="618"/>
      <c r="BS440" s="618"/>
      <c r="BT440" s="618"/>
      <c r="BU440" s="618"/>
      <c r="BV440" s="618"/>
      <c r="BW440" s="618"/>
      <c r="BX440" s="618"/>
      <c r="BY440" s="618"/>
      <c r="BZ440" s="618"/>
      <c r="CA440" s="618"/>
      <c r="CB440" s="618"/>
      <c r="CC440" s="618"/>
      <c r="CD440" s="618"/>
      <c r="CE440" s="469"/>
      <c r="CF440" s="469"/>
      <c r="CG440" s="469"/>
      <c r="CH440" s="469"/>
      <c r="CI440" s="469"/>
      <c r="CJ440" s="469"/>
      <c r="CK440" s="469"/>
      <c r="CL440" s="469"/>
      <c r="CM440" s="469"/>
      <c r="CN440" s="469"/>
      <c r="CO440" s="469"/>
      <c r="CP440" s="469"/>
      <c r="CQ440" s="469"/>
      <c r="CR440" s="469"/>
      <c r="CS440" s="469"/>
      <c r="CT440" s="469"/>
      <c r="CU440" s="469"/>
      <c r="CV440" s="469"/>
      <c r="CW440" s="469"/>
      <c r="CX440" s="469"/>
      <c r="CY440" s="469"/>
      <c r="CZ440" s="469"/>
      <c r="DA440" s="469"/>
      <c r="DB440" s="469"/>
      <c r="DC440" s="469"/>
      <c r="DD440" s="469">
        <f t="shared" si="62"/>
        <v>0</v>
      </c>
      <c r="DE440" s="469"/>
      <c r="DF440" s="469"/>
      <c r="DG440" s="469"/>
      <c r="DH440" s="469"/>
      <c r="DI440" s="469"/>
      <c r="DJ440" s="469"/>
      <c r="DK440" s="469"/>
      <c r="DL440" s="469"/>
      <c r="DM440" s="469"/>
      <c r="DN440" s="469">
        <f>111362.55+107472.87</f>
        <v>218835.41999999998</v>
      </c>
      <c r="DO440" s="469"/>
      <c r="DP440" s="469"/>
      <c r="DQ440" s="469"/>
    </row>
    <row r="441" spans="1:121" s="624" customFormat="1" x14ac:dyDescent="0.2">
      <c r="A441" s="469"/>
      <c r="B441" s="469" t="s">
        <v>107</v>
      </c>
      <c r="C441" s="469" t="s">
        <v>1897</v>
      </c>
      <c r="D441" s="469" t="s">
        <v>411</v>
      </c>
      <c r="E441" s="469"/>
      <c r="F441" s="469"/>
      <c r="G441" s="469"/>
      <c r="H441" s="469"/>
      <c r="I441" s="469"/>
      <c r="J441" s="625">
        <v>45426</v>
      </c>
      <c r="K441" s="625">
        <v>46521</v>
      </c>
      <c r="L441" s="626" t="s">
        <v>1899</v>
      </c>
      <c r="M441" s="626"/>
      <c r="N441" s="626"/>
      <c r="O441" s="626"/>
      <c r="P441" s="627"/>
      <c r="Q441" s="626"/>
      <c r="R441" s="626"/>
      <c r="S441" s="626"/>
      <c r="T441" s="626"/>
      <c r="U441" s="626"/>
      <c r="V441" s="626"/>
      <c r="W441" s="626"/>
      <c r="X441" s="626"/>
      <c r="Y441" s="626"/>
      <c r="Z441" s="626"/>
      <c r="AA441" s="626"/>
      <c r="AB441" s="626"/>
      <c r="AC441" s="626"/>
      <c r="AD441" s="626"/>
      <c r="AE441" s="626"/>
      <c r="AF441" s="626"/>
      <c r="AG441" s="626"/>
      <c r="AH441" s="469"/>
      <c r="AI441" s="617"/>
      <c r="AJ441" s="617"/>
      <c r="AK441" s="617"/>
      <c r="AL441" s="617"/>
      <c r="AM441" s="617"/>
      <c r="AN441" s="617"/>
      <c r="AO441" s="617"/>
      <c r="AP441" s="617"/>
      <c r="AQ441" s="469"/>
      <c r="AR441" s="618"/>
      <c r="AS441" s="618"/>
      <c r="AT441" s="618"/>
      <c r="AU441" s="618"/>
      <c r="AV441" s="618"/>
      <c r="AW441" s="618"/>
      <c r="AX441" s="618"/>
      <c r="AY441" s="618"/>
      <c r="AZ441" s="618"/>
      <c r="BA441" s="618"/>
      <c r="BB441" s="618"/>
      <c r="BC441" s="618"/>
      <c r="BD441" s="620"/>
      <c r="BE441" s="618"/>
      <c r="BF441" s="618"/>
      <c r="BG441" s="618"/>
      <c r="BH441" s="618"/>
      <c r="BI441" s="618"/>
      <c r="BJ441" s="618"/>
      <c r="BK441" s="618"/>
      <c r="BL441" s="618"/>
      <c r="BM441" s="618"/>
      <c r="BN441" s="618"/>
      <c r="BO441" s="618"/>
      <c r="BP441" s="618"/>
      <c r="BQ441" s="634"/>
      <c r="BR441" s="618"/>
      <c r="BS441" s="618"/>
      <c r="BT441" s="618"/>
      <c r="BU441" s="618"/>
      <c r="BV441" s="618"/>
      <c r="BW441" s="618"/>
      <c r="BX441" s="618"/>
      <c r="BY441" s="618"/>
      <c r="BZ441" s="618"/>
      <c r="CA441" s="618"/>
      <c r="CB441" s="618"/>
      <c r="CC441" s="618"/>
      <c r="CD441" s="618"/>
      <c r="CE441" s="469"/>
      <c r="CF441" s="469"/>
      <c r="CG441" s="469"/>
      <c r="CH441" s="469"/>
      <c r="CI441" s="469"/>
      <c r="CJ441" s="469"/>
      <c r="CK441" s="469"/>
      <c r="CL441" s="469"/>
      <c r="CM441" s="469"/>
      <c r="CN441" s="469"/>
      <c r="CO441" s="469"/>
      <c r="CP441" s="469"/>
      <c r="CQ441" s="469"/>
      <c r="CR441" s="469"/>
      <c r="CS441" s="469"/>
      <c r="CT441" s="469"/>
      <c r="CU441" s="469"/>
      <c r="CV441" s="469"/>
      <c r="CW441" s="469"/>
      <c r="CX441" s="469"/>
      <c r="CY441" s="469"/>
      <c r="CZ441" s="469"/>
      <c r="DA441" s="469"/>
      <c r="DB441" s="469"/>
      <c r="DC441" s="469"/>
      <c r="DD441" s="469">
        <f t="shared" si="62"/>
        <v>0</v>
      </c>
      <c r="DE441" s="469"/>
      <c r="DF441" s="469"/>
      <c r="DG441" s="469"/>
      <c r="DH441" s="469"/>
      <c r="DI441" s="469"/>
      <c r="DJ441" s="469">
        <v>17250</v>
      </c>
      <c r="DK441" s="469">
        <v>17250</v>
      </c>
      <c r="DL441" s="469">
        <v>17250</v>
      </c>
      <c r="DM441" s="469">
        <v>17250</v>
      </c>
      <c r="DN441" s="469">
        <f>17250+17250</f>
        <v>34500</v>
      </c>
      <c r="DO441" s="469"/>
      <c r="DP441" s="469">
        <f>17250+17250</f>
        <v>34500</v>
      </c>
      <c r="DQ441" s="469"/>
    </row>
    <row r="442" spans="1:121" s="624" customFormat="1" x14ac:dyDescent="0.2">
      <c r="A442" s="469"/>
      <c r="B442" s="469" t="s">
        <v>107</v>
      </c>
      <c r="C442" s="469" t="s">
        <v>1898</v>
      </c>
      <c r="D442" s="469" t="s">
        <v>423</v>
      </c>
      <c r="E442" s="469"/>
      <c r="F442" s="469"/>
      <c r="G442" s="469"/>
      <c r="H442" s="469"/>
      <c r="I442" s="469"/>
      <c r="J442" s="625">
        <v>45426</v>
      </c>
      <c r="K442" s="625">
        <v>46521</v>
      </c>
      <c r="L442" s="626" t="s">
        <v>1899</v>
      </c>
      <c r="M442" s="626"/>
      <c r="N442" s="626"/>
      <c r="O442" s="626"/>
      <c r="P442" s="627"/>
      <c r="Q442" s="626"/>
      <c r="R442" s="626"/>
      <c r="S442" s="626"/>
      <c r="T442" s="626"/>
      <c r="U442" s="626"/>
      <c r="V442" s="626"/>
      <c r="W442" s="626"/>
      <c r="X442" s="626"/>
      <c r="Y442" s="626"/>
      <c r="Z442" s="626"/>
      <c r="AA442" s="626"/>
      <c r="AB442" s="626"/>
      <c r="AC442" s="626"/>
      <c r="AD442" s="626"/>
      <c r="AE442" s="626"/>
      <c r="AF442" s="626"/>
      <c r="AG442" s="626"/>
      <c r="AH442" s="469"/>
      <c r="AI442" s="617"/>
      <c r="AJ442" s="617"/>
      <c r="AK442" s="617"/>
      <c r="AL442" s="617"/>
      <c r="AM442" s="617"/>
      <c r="AN442" s="617"/>
      <c r="AO442" s="617"/>
      <c r="AP442" s="617"/>
      <c r="AQ442" s="469"/>
      <c r="AR442" s="618"/>
      <c r="AS442" s="618"/>
      <c r="AT442" s="618"/>
      <c r="AU442" s="618"/>
      <c r="AV442" s="618"/>
      <c r="AW442" s="618"/>
      <c r="AX442" s="618"/>
      <c r="AY442" s="618"/>
      <c r="AZ442" s="618"/>
      <c r="BA442" s="618"/>
      <c r="BB442" s="618"/>
      <c r="BC442" s="618"/>
      <c r="BD442" s="620"/>
      <c r="BE442" s="618"/>
      <c r="BF442" s="618"/>
      <c r="BG442" s="618"/>
      <c r="BH442" s="618"/>
      <c r="BI442" s="618"/>
      <c r="BJ442" s="618"/>
      <c r="BK442" s="618"/>
      <c r="BL442" s="618"/>
      <c r="BM442" s="618"/>
      <c r="BN442" s="618"/>
      <c r="BO442" s="618"/>
      <c r="BP442" s="618"/>
      <c r="BQ442" s="634"/>
      <c r="BR442" s="618"/>
      <c r="BS442" s="618"/>
      <c r="BT442" s="618"/>
      <c r="BU442" s="618"/>
      <c r="BV442" s="618"/>
      <c r="BW442" s="618"/>
      <c r="BX442" s="618"/>
      <c r="BY442" s="618"/>
      <c r="BZ442" s="618"/>
      <c r="CA442" s="618"/>
      <c r="CB442" s="618"/>
      <c r="CC442" s="618"/>
      <c r="CD442" s="618"/>
      <c r="CE442" s="469"/>
      <c r="CF442" s="469"/>
      <c r="CG442" s="469"/>
      <c r="CH442" s="469"/>
      <c r="CI442" s="469"/>
      <c r="CJ442" s="469"/>
      <c r="CK442" s="469"/>
      <c r="CL442" s="469"/>
      <c r="CM442" s="469"/>
      <c r="CN442" s="469"/>
      <c r="CO442" s="469"/>
      <c r="CP442" s="469"/>
      <c r="CQ442" s="469"/>
      <c r="CR442" s="469"/>
      <c r="CS442" s="469"/>
      <c r="CT442" s="469"/>
      <c r="CU442" s="469"/>
      <c r="CV442" s="469"/>
      <c r="CW442" s="469"/>
      <c r="CX442" s="469"/>
      <c r="CY442" s="469"/>
      <c r="CZ442" s="469"/>
      <c r="DA442" s="469">
        <v>6751.5</v>
      </c>
      <c r="DB442" s="469"/>
      <c r="DC442" s="469">
        <v>83823.05</v>
      </c>
      <c r="DD442" s="469">
        <f t="shared" si="62"/>
        <v>90574.55</v>
      </c>
      <c r="DE442" s="469">
        <f>2280+6796.5+13248+6151.35+33488+4215</f>
        <v>66178.850000000006</v>
      </c>
      <c r="DF442" s="469">
        <f>2204.55+4646+36215+78294.3+8086.8+53171.4+133804.8+13248+2204.55+16916.5+10000+29054+3659.3+13248+24633+8086.8+17751.4+17751.4+3818+11454+4215.9</f>
        <v>492463.7</v>
      </c>
      <c r="DG442" s="469">
        <f>77362.8+7869.28+7869.29+11803.93+18897.63+2492.34+5923.65+4671.68+10022.25+17473.1+3659.3+7668.2+3659.3+32602.5+3834.1+31312.2+6151.35+64256.25+6189.3+2584.05+14988.33+7494.17+1829.65+1829.65</f>
        <v>352444.30000000005</v>
      </c>
      <c r="DH442" s="469">
        <f>11122.8+2179.25+29376.75+15130.68+6785+9642.75+2002.15+16916.5+6796.5+6988.15+22885.58+22885.58+108091.38+18927.72+26263.13+26263.13+58313.66+4646+16021.82+10493.73+26234.38+26234.38+7783.2</f>
        <v>481984.22000000009</v>
      </c>
      <c r="DI442" s="469">
        <f>22659.6+3659.3+5873.05+23115+22746.43+22746.43+17065.72+1870.44+17065.72+1980+300+3659.3+55141.96+4355.05+16967.1+17549+3659.3+179719.63+59736.75</f>
        <v>479869.77999999997</v>
      </c>
      <c r="DJ442" s="469">
        <f>1952.13+5856.38+4064.1+3988.2+4064.1+10591.5+16916.5+31965.56+4190.44</f>
        <v>83588.91</v>
      </c>
      <c r="DK442" s="469">
        <f>2495.5+2495.5+56700.75+21559.05+21559.05</f>
        <v>104809.85</v>
      </c>
      <c r="DL442" s="469">
        <f>6796.5+66378+19527+19527+1761.8+6796.5+2103.12+2103.12+6309.36+11957.7+7783.2+57270+164773.43+228086.69+228086.69+228086.69+7701.78+6451.5+6505.55</f>
        <v>1078005.6299999999</v>
      </c>
      <c r="DM442" s="469">
        <f>31312.2+11454+7530.2+10212+2495.5+6151.35+3818+9465.64+5316.45+11122.8+9832.5+11310.4+7540.26+11310.4+3659.3+3659.3</f>
        <v>146190.29999999996</v>
      </c>
      <c r="DN442" s="469">
        <f>21930.96+2109.68+24922.8+12461.4+9503.6+7530.2+91740.74</f>
        <v>170199.38</v>
      </c>
      <c r="DO442" s="469">
        <f>2183.85+5646.5+2109.68+2183.85+8434.8</f>
        <v>20558.68</v>
      </c>
      <c r="DP442" s="469">
        <f>2116+41004.63+3942+8800+44601.6+3989.47+5639.03+15807.9+15807.9+20230.8+162940.21+9742.52+19485.05+29227.57+48712.67+9742.52+3054.79+3054.79+8036.2+2495.5+13513.65+7346.78+3887+9174.7+4171.63+2768.74</f>
        <v>499293.65</v>
      </c>
      <c r="DQ442" s="469"/>
    </row>
    <row r="443" spans="1:121" x14ac:dyDescent="0.2">
      <c r="A443" s="854"/>
      <c r="B443" s="854"/>
      <c r="C443" s="854" t="s">
        <v>1974</v>
      </c>
      <c r="D443" s="1" t="s">
        <v>1902</v>
      </c>
      <c r="E443" s="854"/>
      <c r="F443" s="854"/>
      <c r="G443" s="854"/>
      <c r="H443" s="1"/>
      <c r="I443" s="1"/>
      <c r="J443" s="1"/>
      <c r="K443" s="1"/>
      <c r="L443" s="116"/>
      <c r="M443" s="116"/>
      <c r="N443" s="116"/>
      <c r="O443" s="116"/>
      <c r="P443" s="375"/>
      <c r="Q443" s="116"/>
      <c r="R443" s="116"/>
      <c r="S443" s="116"/>
      <c r="T443" s="116"/>
      <c r="U443" s="116"/>
      <c r="V443" s="116"/>
      <c r="W443" s="116"/>
      <c r="X443" s="116"/>
      <c r="Y443" s="116"/>
      <c r="Z443" s="116"/>
      <c r="AA443" s="116"/>
      <c r="AB443" s="116"/>
      <c r="AC443" s="116"/>
      <c r="AD443" s="116"/>
      <c r="AE443" s="116"/>
      <c r="AF443" s="116"/>
      <c r="AG443" s="116"/>
      <c r="AH443" s="1"/>
      <c r="AI443" s="46"/>
      <c r="AJ443" s="46"/>
      <c r="AK443" s="46"/>
      <c r="AL443" s="46"/>
      <c r="AM443" s="46"/>
      <c r="AN443" s="46"/>
      <c r="AO443" s="46"/>
      <c r="AP443" s="46"/>
      <c r="AQ443" s="1"/>
      <c r="AR443" s="15"/>
      <c r="AS443" s="15"/>
      <c r="AT443" s="15"/>
      <c r="AU443" s="15"/>
      <c r="AV443" s="15"/>
      <c r="AW443" s="15"/>
      <c r="AX443" s="15"/>
      <c r="AY443" s="15"/>
      <c r="AZ443" s="15"/>
      <c r="BA443" s="15"/>
      <c r="BB443" s="15"/>
      <c r="BC443" s="15"/>
      <c r="BD443" s="102"/>
      <c r="BE443" s="15"/>
      <c r="BF443" s="15"/>
      <c r="BG443" s="15"/>
      <c r="BH443" s="15"/>
      <c r="BI443" s="15"/>
      <c r="BJ443" s="15"/>
      <c r="BK443" s="15"/>
      <c r="BL443" s="15"/>
      <c r="BM443" s="15"/>
      <c r="BN443" s="15"/>
      <c r="BO443" s="15"/>
      <c r="BP443" s="15"/>
      <c r="BQ443" s="242"/>
      <c r="BR443" s="15"/>
      <c r="BS443" s="15"/>
      <c r="BT443" s="15"/>
      <c r="BU443" s="15"/>
      <c r="BV443" s="15"/>
      <c r="BW443" s="15"/>
      <c r="BX443" s="15"/>
      <c r="BY443" s="15"/>
      <c r="BZ443" s="15"/>
      <c r="CA443" s="15"/>
      <c r="CB443" s="15"/>
      <c r="CC443" s="15"/>
      <c r="CD443" s="15"/>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row>
    <row r="444" spans="1:121" x14ac:dyDescent="0.2">
      <c r="A444" s="855"/>
      <c r="B444" s="855"/>
      <c r="C444" s="855"/>
      <c r="D444" s="1" t="s">
        <v>1903</v>
      </c>
      <c r="E444" s="855"/>
      <c r="F444" s="855"/>
      <c r="G444" s="855"/>
      <c r="H444" s="1"/>
      <c r="I444" s="1"/>
      <c r="J444" s="1"/>
      <c r="K444" s="1"/>
      <c r="L444" s="116"/>
      <c r="M444" s="116"/>
      <c r="N444" s="116"/>
      <c r="O444" s="116"/>
      <c r="P444" s="375"/>
      <c r="Q444" s="116"/>
      <c r="R444" s="116"/>
      <c r="S444" s="116"/>
      <c r="T444" s="116"/>
      <c r="U444" s="116"/>
      <c r="V444" s="116"/>
      <c r="W444" s="116"/>
      <c r="X444" s="116"/>
      <c r="Y444" s="116"/>
      <c r="Z444" s="116"/>
      <c r="AA444" s="116"/>
      <c r="AB444" s="116"/>
      <c r="AC444" s="116"/>
      <c r="AD444" s="116"/>
      <c r="AE444" s="116"/>
      <c r="AF444" s="116"/>
      <c r="AG444" s="116"/>
      <c r="AH444" s="1"/>
      <c r="AI444" s="46"/>
      <c r="AJ444" s="46"/>
      <c r="AK444" s="46"/>
      <c r="AL444" s="46"/>
      <c r="AM444" s="46"/>
      <c r="AN444" s="46"/>
      <c r="AO444" s="46"/>
      <c r="AP444" s="46"/>
      <c r="AQ444" s="1"/>
      <c r="AR444" s="15"/>
      <c r="AS444" s="15"/>
      <c r="AT444" s="15"/>
      <c r="AU444" s="15"/>
      <c r="AV444" s="15"/>
      <c r="AW444" s="15"/>
      <c r="AX444" s="15"/>
      <c r="AY444" s="15"/>
      <c r="AZ444" s="15"/>
      <c r="BA444" s="15"/>
      <c r="BB444" s="15"/>
      <c r="BC444" s="15"/>
      <c r="BD444" s="102"/>
      <c r="BE444" s="15"/>
      <c r="BF444" s="15"/>
      <c r="BG444" s="15"/>
      <c r="BH444" s="15"/>
      <c r="BI444" s="15"/>
      <c r="BJ444" s="15"/>
      <c r="BK444" s="15"/>
      <c r="BL444" s="15"/>
      <c r="BM444" s="15"/>
      <c r="BN444" s="15"/>
      <c r="BO444" s="15"/>
      <c r="BP444" s="15"/>
      <c r="BQ444" s="242"/>
      <c r="BR444" s="15"/>
      <c r="BS444" s="15"/>
      <c r="BT444" s="15"/>
      <c r="BU444" s="15"/>
      <c r="BV444" s="15"/>
      <c r="BW444" s="15"/>
      <c r="BX444" s="15"/>
      <c r="BY444" s="15"/>
      <c r="BZ444" s="15"/>
      <c r="CA444" s="15"/>
      <c r="CB444" s="15"/>
      <c r="CC444" s="15"/>
      <c r="CD444" s="15"/>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row>
    <row r="445" spans="1:121" x14ac:dyDescent="0.2">
      <c r="A445" s="855"/>
      <c r="B445" s="855"/>
      <c r="C445" s="855"/>
      <c r="D445" s="1" t="s">
        <v>1904</v>
      </c>
      <c r="E445" s="855"/>
      <c r="F445" s="855"/>
      <c r="G445" s="855"/>
      <c r="H445" s="1"/>
      <c r="I445" s="1"/>
      <c r="J445" s="1"/>
      <c r="K445" s="1"/>
      <c r="L445" s="116"/>
      <c r="M445" s="116"/>
      <c r="N445" s="116"/>
      <c r="O445" s="116"/>
      <c r="P445" s="375"/>
      <c r="Q445" s="116"/>
      <c r="R445" s="116"/>
      <c r="S445" s="116"/>
      <c r="T445" s="116"/>
      <c r="U445" s="116"/>
      <c r="V445" s="116"/>
      <c r="W445" s="116"/>
      <c r="X445" s="116"/>
      <c r="Y445" s="116"/>
      <c r="Z445" s="116"/>
      <c r="AA445" s="116"/>
      <c r="AB445" s="116"/>
      <c r="AC445" s="116"/>
      <c r="AD445" s="116"/>
      <c r="AE445" s="116"/>
      <c r="AF445" s="116"/>
      <c r="AG445" s="116"/>
      <c r="AH445" s="1"/>
      <c r="AI445" s="46"/>
      <c r="AJ445" s="46"/>
      <c r="AK445" s="46"/>
      <c r="AL445" s="46"/>
      <c r="AM445" s="46"/>
      <c r="AN445" s="46"/>
      <c r="AO445" s="46"/>
      <c r="AP445" s="46"/>
      <c r="AQ445" s="1"/>
      <c r="AR445" s="15"/>
      <c r="AS445" s="15"/>
      <c r="AT445" s="15"/>
      <c r="AU445" s="15"/>
      <c r="AV445" s="15"/>
      <c r="AW445" s="15"/>
      <c r="AX445" s="15"/>
      <c r="AY445" s="15"/>
      <c r="AZ445" s="15"/>
      <c r="BA445" s="15"/>
      <c r="BB445" s="15"/>
      <c r="BC445" s="15"/>
      <c r="BD445" s="102"/>
      <c r="BE445" s="15"/>
      <c r="BF445" s="15"/>
      <c r="BG445" s="15"/>
      <c r="BH445" s="15"/>
      <c r="BI445" s="15"/>
      <c r="BJ445" s="15"/>
      <c r="BK445" s="15"/>
      <c r="BL445" s="15"/>
      <c r="BM445" s="15"/>
      <c r="BN445" s="15"/>
      <c r="BO445" s="15"/>
      <c r="BP445" s="15"/>
      <c r="BQ445" s="242"/>
      <c r="BR445" s="15"/>
      <c r="BS445" s="15"/>
      <c r="BT445" s="15"/>
      <c r="BU445" s="15"/>
      <c r="BV445" s="15"/>
      <c r="BW445" s="15"/>
      <c r="BX445" s="15"/>
      <c r="BY445" s="15"/>
      <c r="BZ445" s="15"/>
      <c r="CA445" s="15"/>
      <c r="CB445" s="15"/>
      <c r="CC445" s="15"/>
      <c r="CD445" s="15"/>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row>
    <row r="446" spans="1:121" x14ac:dyDescent="0.2">
      <c r="A446" s="856"/>
      <c r="B446" s="856"/>
      <c r="C446" s="856"/>
      <c r="D446" s="1" t="s">
        <v>480</v>
      </c>
      <c r="E446" s="856"/>
      <c r="F446" s="856"/>
      <c r="G446" s="856"/>
      <c r="H446" s="1"/>
      <c r="I446" s="1"/>
      <c r="J446" s="1"/>
      <c r="K446" s="1"/>
      <c r="L446" s="116"/>
      <c r="M446" s="116"/>
      <c r="N446" s="116"/>
      <c r="O446" s="116"/>
      <c r="P446" s="375"/>
      <c r="Q446" s="116"/>
      <c r="R446" s="116"/>
      <c r="S446" s="116"/>
      <c r="T446" s="116"/>
      <c r="U446" s="116"/>
      <c r="V446" s="116"/>
      <c r="W446" s="116"/>
      <c r="X446" s="116"/>
      <c r="Y446" s="116"/>
      <c r="Z446" s="116"/>
      <c r="AA446" s="116"/>
      <c r="AB446" s="116"/>
      <c r="AC446" s="116"/>
      <c r="AD446" s="116"/>
      <c r="AE446" s="116"/>
      <c r="AF446" s="116"/>
      <c r="AG446" s="116"/>
      <c r="AH446" s="1"/>
      <c r="AI446" s="46"/>
      <c r="AJ446" s="46"/>
      <c r="AK446" s="46"/>
      <c r="AL446" s="46"/>
      <c r="AM446" s="46"/>
      <c r="AN446" s="46"/>
      <c r="AO446" s="46"/>
      <c r="AP446" s="46"/>
      <c r="AQ446" s="1"/>
      <c r="AR446" s="15"/>
      <c r="AS446" s="15"/>
      <c r="AT446" s="15"/>
      <c r="AU446" s="15"/>
      <c r="AV446" s="15"/>
      <c r="AW446" s="15"/>
      <c r="AX446" s="15"/>
      <c r="AY446" s="15"/>
      <c r="AZ446" s="15"/>
      <c r="BA446" s="15"/>
      <c r="BB446" s="15"/>
      <c r="BC446" s="15"/>
      <c r="BD446" s="102"/>
      <c r="BE446" s="15"/>
      <c r="BF446" s="15"/>
      <c r="BG446" s="15"/>
      <c r="BH446" s="15"/>
      <c r="BI446" s="15"/>
      <c r="BJ446" s="15"/>
      <c r="BK446" s="15"/>
      <c r="BL446" s="15"/>
      <c r="BM446" s="15"/>
      <c r="BN446" s="15"/>
      <c r="BO446" s="15"/>
      <c r="BP446" s="15"/>
      <c r="BQ446" s="242"/>
      <c r="BR446" s="15"/>
      <c r="BS446" s="15"/>
      <c r="BT446" s="15"/>
      <c r="BU446" s="15"/>
      <c r="BV446" s="15"/>
      <c r="BW446" s="15"/>
      <c r="BX446" s="15"/>
      <c r="BY446" s="15"/>
      <c r="BZ446" s="15"/>
      <c r="CA446" s="15"/>
      <c r="CB446" s="15"/>
      <c r="CC446" s="15"/>
      <c r="CD446" s="15"/>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row>
    <row r="447" spans="1:121" x14ac:dyDescent="0.2">
      <c r="A447" s="854"/>
      <c r="B447" s="854"/>
      <c r="C447" s="854" t="s">
        <v>1975</v>
      </c>
      <c r="D447" s="1" t="s">
        <v>1905</v>
      </c>
      <c r="E447" s="854"/>
      <c r="F447" s="854"/>
      <c r="G447" s="854"/>
      <c r="H447" s="1"/>
      <c r="I447" s="1"/>
      <c r="J447" s="1"/>
      <c r="K447" s="1"/>
      <c r="L447" s="116"/>
      <c r="M447" s="116"/>
      <c r="N447" s="116"/>
      <c r="O447" s="116"/>
      <c r="P447" s="375"/>
      <c r="Q447" s="116"/>
      <c r="R447" s="116"/>
      <c r="S447" s="116"/>
      <c r="T447" s="116"/>
      <c r="U447" s="116"/>
      <c r="V447" s="116"/>
      <c r="W447" s="116"/>
      <c r="X447" s="116"/>
      <c r="Y447" s="116"/>
      <c r="Z447" s="116"/>
      <c r="AA447" s="116"/>
      <c r="AB447" s="116"/>
      <c r="AC447" s="116"/>
      <c r="AD447" s="116"/>
      <c r="AE447" s="116"/>
      <c r="AF447" s="116"/>
      <c r="AG447" s="116"/>
      <c r="AH447" s="1"/>
      <c r="AI447" s="46"/>
      <c r="AJ447" s="46"/>
      <c r="AK447" s="46"/>
      <c r="AL447" s="46"/>
      <c r="AM447" s="46"/>
      <c r="AN447" s="46"/>
      <c r="AO447" s="46"/>
      <c r="AP447" s="46"/>
      <c r="AQ447" s="1"/>
      <c r="AR447" s="15"/>
      <c r="AS447" s="15"/>
      <c r="AT447" s="15"/>
      <c r="AU447" s="15"/>
      <c r="AV447" s="15"/>
      <c r="AW447" s="15"/>
      <c r="AX447" s="15"/>
      <c r="AY447" s="15"/>
      <c r="AZ447" s="15"/>
      <c r="BA447" s="15"/>
      <c r="BB447" s="15"/>
      <c r="BC447" s="15"/>
      <c r="BD447" s="102"/>
      <c r="BE447" s="15"/>
      <c r="BF447" s="15"/>
      <c r="BG447" s="15"/>
      <c r="BH447" s="15"/>
      <c r="BI447" s="15"/>
      <c r="BJ447" s="15"/>
      <c r="BK447" s="15"/>
      <c r="BL447" s="15"/>
      <c r="BM447" s="15"/>
      <c r="BN447" s="15"/>
      <c r="BO447" s="15"/>
      <c r="BP447" s="15"/>
      <c r="BQ447" s="242"/>
      <c r="BR447" s="15"/>
      <c r="BS447" s="15"/>
      <c r="BT447" s="15"/>
      <c r="BU447" s="15"/>
      <c r="BV447" s="15"/>
      <c r="BW447" s="15"/>
      <c r="BX447" s="15"/>
      <c r="BY447" s="15"/>
      <c r="BZ447" s="15"/>
      <c r="CA447" s="15"/>
      <c r="CB447" s="15"/>
      <c r="CC447" s="15"/>
      <c r="CD447" s="15"/>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row>
    <row r="448" spans="1:121" s="624" customFormat="1" x14ac:dyDescent="0.2">
      <c r="A448" s="855"/>
      <c r="B448" s="855"/>
      <c r="C448" s="855"/>
      <c r="D448" s="469" t="s">
        <v>1906</v>
      </c>
      <c r="E448" s="855"/>
      <c r="F448" s="855"/>
      <c r="G448" s="855"/>
      <c r="H448" s="469"/>
      <c r="I448" s="469"/>
      <c r="J448" s="469"/>
      <c r="K448" s="469"/>
      <c r="L448" s="626"/>
      <c r="M448" s="626"/>
      <c r="N448" s="626"/>
      <c r="O448" s="626"/>
      <c r="P448" s="627"/>
      <c r="Q448" s="626"/>
      <c r="R448" s="626"/>
      <c r="S448" s="626"/>
      <c r="T448" s="626"/>
      <c r="U448" s="626"/>
      <c r="V448" s="626"/>
      <c r="W448" s="626"/>
      <c r="X448" s="626"/>
      <c r="Y448" s="626"/>
      <c r="Z448" s="626"/>
      <c r="AA448" s="626"/>
      <c r="AB448" s="626"/>
      <c r="AC448" s="626"/>
      <c r="AD448" s="626"/>
      <c r="AE448" s="626"/>
      <c r="AF448" s="626"/>
      <c r="AG448" s="626"/>
      <c r="AH448" s="469"/>
      <c r="AI448" s="617"/>
      <c r="AJ448" s="617"/>
      <c r="AK448" s="617"/>
      <c r="AL448" s="617"/>
      <c r="AM448" s="617"/>
      <c r="AN448" s="617"/>
      <c r="AO448" s="617"/>
      <c r="AP448" s="617"/>
      <c r="AQ448" s="469"/>
      <c r="AR448" s="618"/>
      <c r="AS448" s="618"/>
      <c r="AT448" s="618"/>
      <c r="AU448" s="618"/>
      <c r="AV448" s="618"/>
      <c r="AW448" s="618"/>
      <c r="AX448" s="618"/>
      <c r="AY448" s="618"/>
      <c r="AZ448" s="618"/>
      <c r="BA448" s="618"/>
      <c r="BB448" s="618"/>
      <c r="BC448" s="618"/>
      <c r="BD448" s="620"/>
      <c r="BE448" s="618"/>
      <c r="BF448" s="618"/>
      <c r="BG448" s="618"/>
      <c r="BH448" s="618"/>
      <c r="BI448" s="618"/>
      <c r="BJ448" s="618"/>
      <c r="BK448" s="618"/>
      <c r="BL448" s="618"/>
      <c r="BM448" s="618"/>
      <c r="BN448" s="618"/>
      <c r="BO448" s="618"/>
      <c r="BP448" s="618"/>
      <c r="BQ448" s="634"/>
      <c r="BR448" s="618"/>
      <c r="BS448" s="618"/>
      <c r="BT448" s="618"/>
      <c r="BU448" s="618"/>
      <c r="BV448" s="618"/>
      <c r="BW448" s="618"/>
      <c r="BX448" s="618"/>
      <c r="BY448" s="618"/>
      <c r="BZ448" s="618"/>
      <c r="CA448" s="618"/>
      <c r="CB448" s="618"/>
      <c r="CC448" s="618"/>
      <c r="CD448" s="618"/>
      <c r="CE448" s="469"/>
      <c r="CF448" s="469"/>
      <c r="CG448" s="469"/>
      <c r="CH448" s="469"/>
      <c r="CI448" s="469"/>
      <c r="CJ448" s="469"/>
      <c r="CK448" s="469"/>
      <c r="CL448" s="469"/>
      <c r="CM448" s="469"/>
      <c r="CN448" s="469"/>
      <c r="CO448" s="469"/>
      <c r="CP448" s="469"/>
      <c r="CQ448" s="469"/>
      <c r="CR448" s="469"/>
      <c r="CS448" s="469"/>
      <c r="CT448" s="469"/>
      <c r="CU448" s="469"/>
      <c r="CV448" s="469"/>
      <c r="CW448" s="469"/>
      <c r="CX448" s="469"/>
      <c r="CY448" s="469"/>
      <c r="CZ448" s="469"/>
      <c r="DA448" s="469"/>
      <c r="DB448" s="469"/>
      <c r="DC448" s="469"/>
      <c r="DD448" s="469"/>
      <c r="DE448" s="469"/>
      <c r="DF448" s="469"/>
      <c r="DG448" s="469"/>
      <c r="DH448" s="469"/>
      <c r="DI448" s="469">
        <v>97824.43</v>
      </c>
      <c r="DJ448" s="469"/>
      <c r="DK448" s="469"/>
      <c r="DL448" s="469"/>
      <c r="DM448" s="469"/>
      <c r="DN448" s="469"/>
      <c r="DO448" s="469">
        <v>6550</v>
      </c>
      <c r="DP448" s="469">
        <f>55540.92+26230</f>
        <v>81770.92</v>
      </c>
      <c r="DQ448" s="469"/>
    </row>
    <row r="449" spans="1:121" s="624" customFormat="1" x14ac:dyDescent="0.2">
      <c r="A449" s="855"/>
      <c r="B449" s="855"/>
      <c r="C449" s="855"/>
      <c r="D449" s="469" t="s">
        <v>1907</v>
      </c>
      <c r="E449" s="855"/>
      <c r="F449" s="855"/>
      <c r="G449" s="855"/>
      <c r="H449" s="469"/>
      <c r="I449" s="469"/>
      <c r="J449" s="469"/>
      <c r="K449" s="469"/>
      <c r="L449" s="626"/>
      <c r="M449" s="626"/>
      <c r="N449" s="626"/>
      <c r="O449" s="626"/>
      <c r="P449" s="627"/>
      <c r="Q449" s="626"/>
      <c r="R449" s="626"/>
      <c r="S449" s="626"/>
      <c r="T449" s="626"/>
      <c r="U449" s="626"/>
      <c r="V449" s="626"/>
      <c r="W449" s="626"/>
      <c r="X449" s="626"/>
      <c r="Y449" s="626"/>
      <c r="Z449" s="626"/>
      <c r="AA449" s="626"/>
      <c r="AB449" s="626"/>
      <c r="AC449" s="626"/>
      <c r="AD449" s="626"/>
      <c r="AE449" s="626"/>
      <c r="AF449" s="626"/>
      <c r="AG449" s="626"/>
      <c r="AH449" s="469"/>
      <c r="AI449" s="617"/>
      <c r="AJ449" s="617"/>
      <c r="AK449" s="617"/>
      <c r="AL449" s="617"/>
      <c r="AM449" s="617"/>
      <c r="AN449" s="617"/>
      <c r="AO449" s="617"/>
      <c r="AP449" s="617"/>
      <c r="AQ449" s="469"/>
      <c r="AR449" s="618"/>
      <c r="AS449" s="618"/>
      <c r="AT449" s="618"/>
      <c r="AU449" s="618"/>
      <c r="AV449" s="618"/>
      <c r="AW449" s="618"/>
      <c r="AX449" s="618"/>
      <c r="AY449" s="618"/>
      <c r="AZ449" s="618"/>
      <c r="BA449" s="618"/>
      <c r="BB449" s="618"/>
      <c r="BC449" s="618"/>
      <c r="BD449" s="620"/>
      <c r="BE449" s="618"/>
      <c r="BF449" s="618"/>
      <c r="BG449" s="618"/>
      <c r="BH449" s="618"/>
      <c r="BI449" s="618"/>
      <c r="BJ449" s="618"/>
      <c r="BK449" s="618"/>
      <c r="BL449" s="618"/>
      <c r="BM449" s="618"/>
      <c r="BN449" s="618"/>
      <c r="BO449" s="618"/>
      <c r="BP449" s="618"/>
      <c r="BQ449" s="634"/>
      <c r="BR449" s="618"/>
      <c r="BS449" s="618"/>
      <c r="BT449" s="618"/>
      <c r="BU449" s="618"/>
      <c r="BV449" s="618"/>
      <c r="BW449" s="618"/>
      <c r="BX449" s="618"/>
      <c r="BY449" s="618"/>
      <c r="BZ449" s="618"/>
      <c r="CA449" s="618"/>
      <c r="CB449" s="618"/>
      <c r="CC449" s="618"/>
      <c r="CD449" s="618"/>
      <c r="CE449" s="469"/>
      <c r="CF449" s="469"/>
      <c r="CG449" s="469"/>
      <c r="CH449" s="469"/>
      <c r="CI449" s="469"/>
      <c r="CJ449" s="469"/>
      <c r="CK449" s="469"/>
      <c r="CL449" s="469"/>
      <c r="CM449" s="469"/>
      <c r="CN449" s="469"/>
      <c r="CO449" s="469"/>
      <c r="CP449" s="469"/>
      <c r="CQ449" s="469"/>
      <c r="CR449" s="469"/>
      <c r="CS449" s="469"/>
      <c r="CT449" s="469"/>
      <c r="CU449" s="469"/>
      <c r="CV449" s="469"/>
      <c r="CW449" s="469"/>
      <c r="CX449" s="469"/>
      <c r="CY449" s="469"/>
      <c r="CZ449" s="469"/>
      <c r="DA449" s="469"/>
      <c r="DB449" s="469"/>
      <c r="DC449" s="469"/>
      <c r="DD449" s="469"/>
      <c r="DE449" s="469"/>
      <c r="DF449" s="469"/>
      <c r="DG449" s="469"/>
      <c r="DH449" s="469">
        <v>4800</v>
      </c>
      <c r="DI449" s="469"/>
      <c r="DJ449" s="469"/>
      <c r="DK449" s="469"/>
      <c r="DL449" s="469"/>
      <c r="DM449" s="469"/>
      <c r="DN449" s="469"/>
      <c r="DO449" s="469"/>
      <c r="DP449" s="469">
        <v>54420</v>
      </c>
      <c r="DQ449" s="469"/>
    </row>
    <row r="450" spans="1:121" x14ac:dyDescent="0.2">
      <c r="A450" s="855"/>
      <c r="B450" s="855"/>
      <c r="C450" s="855"/>
      <c r="D450" s="1" t="s">
        <v>1908</v>
      </c>
      <c r="E450" s="855"/>
      <c r="F450" s="855"/>
      <c r="G450" s="855"/>
      <c r="H450" s="1"/>
      <c r="I450" s="1"/>
      <c r="J450" s="1"/>
      <c r="K450" s="1"/>
      <c r="L450" s="116"/>
      <c r="M450" s="116"/>
      <c r="N450" s="116"/>
      <c r="O450" s="116"/>
      <c r="P450" s="375"/>
      <c r="Q450" s="116"/>
      <c r="R450" s="116"/>
      <c r="S450" s="116"/>
      <c r="T450" s="116"/>
      <c r="U450" s="116"/>
      <c r="V450" s="116"/>
      <c r="W450" s="116"/>
      <c r="X450" s="116"/>
      <c r="Y450" s="116"/>
      <c r="Z450" s="116"/>
      <c r="AA450" s="116"/>
      <c r="AB450" s="116"/>
      <c r="AC450" s="116"/>
      <c r="AD450" s="116"/>
      <c r="AE450" s="116"/>
      <c r="AF450" s="116"/>
      <c r="AG450" s="116"/>
      <c r="AH450" s="1"/>
      <c r="AI450" s="46"/>
      <c r="AJ450" s="46"/>
      <c r="AK450" s="46"/>
      <c r="AL450" s="46"/>
      <c r="AM450" s="46"/>
      <c r="AN450" s="46"/>
      <c r="AO450" s="46"/>
      <c r="AP450" s="46"/>
      <c r="AQ450" s="1"/>
      <c r="AR450" s="15"/>
      <c r="AS450" s="15"/>
      <c r="AT450" s="15"/>
      <c r="AU450" s="15"/>
      <c r="AV450" s="15"/>
      <c r="AW450" s="15"/>
      <c r="AX450" s="15"/>
      <c r="AY450" s="15"/>
      <c r="AZ450" s="15"/>
      <c r="BA450" s="15"/>
      <c r="BB450" s="15"/>
      <c r="BC450" s="15"/>
      <c r="BD450" s="102"/>
      <c r="BE450" s="15"/>
      <c r="BF450" s="15"/>
      <c r="BG450" s="15"/>
      <c r="BH450" s="15"/>
      <c r="BI450" s="15"/>
      <c r="BJ450" s="15"/>
      <c r="BK450" s="15"/>
      <c r="BL450" s="15"/>
      <c r="BM450" s="15"/>
      <c r="BN450" s="15"/>
      <c r="BO450" s="15"/>
      <c r="BP450" s="15"/>
      <c r="BQ450" s="242"/>
      <c r="BR450" s="15"/>
      <c r="BS450" s="15"/>
      <c r="BT450" s="15"/>
      <c r="BU450" s="15"/>
      <c r="BV450" s="15"/>
      <c r="BW450" s="15"/>
      <c r="BX450" s="15"/>
      <c r="BY450" s="15"/>
      <c r="BZ450" s="15"/>
      <c r="CA450" s="15"/>
      <c r="CB450" s="15"/>
      <c r="CC450" s="15"/>
      <c r="CD450" s="15"/>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row>
    <row r="451" spans="1:121" s="624" customFormat="1" x14ac:dyDescent="0.2">
      <c r="A451" s="856"/>
      <c r="B451" s="856"/>
      <c r="C451" s="856"/>
      <c r="D451" s="469" t="s">
        <v>1909</v>
      </c>
      <c r="E451" s="856"/>
      <c r="F451" s="856"/>
      <c r="G451" s="856"/>
      <c r="H451" s="469"/>
      <c r="I451" s="469"/>
      <c r="J451" s="469"/>
      <c r="K451" s="469"/>
      <c r="L451" s="626"/>
      <c r="M451" s="626"/>
      <c r="N451" s="626"/>
      <c r="O451" s="626"/>
      <c r="P451" s="627"/>
      <c r="Q451" s="626"/>
      <c r="R451" s="626"/>
      <c r="S451" s="626"/>
      <c r="T451" s="626"/>
      <c r="U451" s="626"/>
      <c r="V451" s="626"/>
      <c r="W451" s="626"/>
      <c r="X451" s="626"/>
      <c r="Y451" s="626"/>
      <c r="Z451" s="626"/>
      <c r="AA451" s="626"/>
      <c r="AB451" s="626"/>
      <c r="AC451" s="626"/>
      <c r="AD451" s="626"/>
      <c r="AE451" s="626"/>
      <c r="AF451" s="626"/>
      <c r="AG451" s="626"/>
      <c r="AH451" s="469"/>
      <c r="AI451" s="617"/>
      <c r="AJ451" s="617"/>
      <c r="AK451" s="617"/>
      <c r="AL451" s="617"/>
      <c r="AM451" s="617"/>
      <c r="AN451" s="617"/>
      <c r="AO451" s="617"/>
      <c r="AP451" s="617"/>
      <c r="AQ451" s="469"/>
      <c r="AR451" s="618"/>
      <c r="AS451" s="618"/>
      <c r="AT451" s="618"/>
      <c r="AU451" s="618"/>
      <c r="AV451" s="618"/>
      <c r="AW451" s="618"/>
      <c r="AX451" s="618"/>
      <c r="AY451" s="618"/>
      <c r="AZ451" s="618"/>
      <c r="BA451" s="618"/>
      <c r="BB451" s="618"/>
      <c r="BC451" s="618"/>
      <c r="BD451" s="620"/>
      <c r="BE451" s="618"/>
      <c r="BF451" s="618"/>
      <c r="BG451" s="618"/>
      <c r="BH451" s="618"/>
      <c r="BI451" s="618"/>
      <c r="BJ451" s="618"/>
      <c r="BK451" s="618"/>
      <c r="BL451" s="618"/>
      <c r="BM451" s="618"/>
      <c r="BN451" s="618"/>
      <c r="BO451" s="618"/>
      <c r="BP451" s="618"/>
      <c r="BQ451" s="634"/>
      <c r="BR451" s="618"/>
      <c r="BS451" s="618"/>
      <c r="BT451" s="618"/>
      <c r="BU451" s="618"/>
      <c r="BV451" s="618"/>
      <c r="BW451" s="618"/>
      <c r="BX451" s="618"/>
      <c r="BY451" s="618"/>
      <c r="BZ451" s="618"/>
      <c r="CA451" s="618"/>
      <c r="CB451" s="618"/>
      <c r="CC451" s="618"/>
      <c r="CD451" s="618"/>
      <c r="CE451" s="469"/>
      <c r="CF451" s="469"/>
      <c r="CG451" s="469"/>
      <c r="CH451" s="469"/>
      <c r="CI451" s="469"/>
      <c r="CJ451" s="469"/>
      <c r="CK451" s="469"/>
      <c r="CL451" s="469"/>
      <c r="CM451" s="469"/>
      <c r="CN451" s="469"/>
      <c r="CO451" s="469"/>
      <c r="CP451" s="469"/>
      <c r="CQ451" s="469"/>
      <c r="CR451" s="469"/>
      <c r="CS451" s="469"/>
      <c r="CT451" s="469"/>
      <c r="CU451" s="469"/>
      <c r="CV451" s="469"/>
      <c r="CW451" s="469"/>
      <c r="CX451" s="469"/>
      <c r="CY451" s="469"/>
      <c r="CZ451" s="469"/>
      <c r="DA451" s="469"/>
      <c r="DB451" s="469"/>
      <c r="DC451" s="469"/>
      <c r="DD451" s="469"/>
      <c r="DE451" s="469"/>
      <c r="DF451" s="469"/>
      <c r="DG451" s="469"/>
      <c r="DH451" s="469"/>
      <c r="DI451" s="469"/>
      <c r="DJ451" s="469"/>
      <c r="DK451" s="469"/>
      <c r="DL451" s="469"/>
      <c r="DM451" s="469"/>
      <c r="DN451" s="469"/>
      <c r="DO451" s="469"/>
      <c r="DP451" s="469">
        <v>7374</v>
      </c>
      <c r="DQ451" s="469"/>
    </row>
    <row r="452" spans="1:121" x14ac:dyDescent="0.2">
      <c r="A452" s="854"/>
      <c r="B452" s="854"/>
      <c r="C452" s="854" t="s">
        <v>1976</v>
      </c>
      <c r="D452" s="1" t="s">
        <v>1910</v>
      </c>
      <c r="E452" s="854"/>
      <c r="F452" s="854"/>
      <c r="G452" s="854"/>
      <c r="H452" s="1"/>
      <c r="I452" s="1"/>
      <c r="J452" s="1"/>
      <c r="K452" s="1"/>
      <c r="L452" s="116"/>
      <c r="M452" s="116"/>
      <c r="N452" s="116"/>
      <c r="O452" s="116"/>
      <c r="P452" s="375"/>
      <c r="Q452" s="116"/>
      <c r="R452" s="116"/>
      <c r="S452" s="116"/>
      <c r="T452" s="116"/>
      <c r="U452" s="116"/>
      <c r="V452" s="116"/>
      <c r="W452" s="116"/>
      <c r="X452" s="116"/>
      <c r="Y452" s="116"/>
      <c r="Z452" s="116"/>
      <c r="AA452" s="116"/>
      <c r="AB452" s="116"/>
      <c r="AC452" s="116"/>
      <c r="AD452" s="116"/>
      <c r="AE452" s="116"/>
      <c r="AF452" s="116"/>
      <c r="AG452" s="116"/>
      <c r="AH452" s="1"/>
      <c r="AI452" s="46"/>
      <c r="AJ452" s="46"/>
      <c r="AK452" s="46"/>
      <c r="AL452" s="46"/>
      <c r="AM452" s="46"/>
      <c r="AN452" s="46"/>
      <c r="AO452" s="46"/>
      <c r="AP452" s="46"/>
      <c r="AQ452" s="1"/>
      <c r="AR452" s="15"/>
      <c r="AS452" s="15"/>
      <c r="AT452" s="15"/>
      <c r="AU452" s="15"/>
      <c r="AV452" s="15"/>
      <c r="AW452" s="15"/>
      <c r="AX452" s="15"/>
      <c r="AY452" s="15"/>
      <c r="AZ452" s="15"/>
      <c r="BA452" s="15"/>
      <c r="BB452" s="15"/>
      <c r="BC452" s="15"/>
      <c r="BD452" s="102"/>
      <c r="BE452" s="15"/>
      <c r="BF452" s="15"/>
      <c r="BG452" s="15"/>
      <c r="BH452" s="15"/>
      <c r="BI452" s="15"/>
      <c r="BJ452" s="15"/>
      <c r="BK452" s="15"/>
      <c r="BL452" s="15"/>
      <c r="BM452" s="15"/>
      <c r="BN452" s="15"/>
      <c r="BO452" s="15"/>
      <c r="BP452" s="15"/>
      <c r="BQ452" s="242"/>
      <c r="BR452" s="15"/>
      <c r="BS452" s="15"/>
      <c r="BT452" s="15"/>
      <c r="BU452" s="15"/>
      <c r="BV452" s="15"/>
      <c r="BW452" s="15"/>
      <c r="BX452" s="15"/>
      <c r="BY452" s="15"/>
      <c r="BZ452" s="15"/>
      <c r="CA452" s="15"/>
      <c r="CB452" s="15"/>
      <c r="CC452" s="15"/>
      <c r="CD452" s="15"/>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row>
    <row r="453" spans="1:121" x14ac:dyDescent="0.2">
      <c r="A453" s="855"/>
      <c r="B453" s="855"/>
      <c r="C453" s="855"/>
      <c r="D453" s="1" t="s">
        <v>1911</v>
      </c>
      <c r="E453" s="855"/>
      <c r="F453" s="855"/>
      <c r="G453" s="855"/>
      <c r="H453" s="1"/>
      <c r="I453" s="1"/>
      <c r="J453" s="1"/>
      <c r="K453" s="1"/>
      <c r="L453" s="116"/>
      <c r="M453" s="116"/>
      <c r="N453" s="116"/>
      <c r="O453" s="116"/>
      <c r="P453" s="375"/>
      <c r="Q453" s="116"/>
      <c r="R453" s="116"/>
      <c r="S453" s="116"/>
      <c r="T453" s="116"/>
      <c r="U453" s="116"/>
      <c r="V453" s="116"/>
      <c r="W453" s="116"/>
      <c r="X453" s="116"/>
      <c r="Y453" s="116"/>
      <c r="Z453" s="116"/>
      <c r="AA453" s="116"/>
      <c r="AB453" s="116"/>
      <c r="AC453" s="116"/>
      <c r="AD453" s="116"/>
      <c r="AE453" s="116"/>
      <c r="AF453" s="116"/>
      <c r="AG453" s="116"/>
      <c r="AH453" s="1"/>
      <c r="AI453" s="46"/>
      <c r="AJ453" s="46"/>
      <c r="AK453" s="46"/>
      <c r="AL453" s="46"/>
      <c r="AM453" s="46"/>
      <c r="AN453" s="46"/>
      <c r="AO453" s="46"/>
      <c r="AP453" s="46"/>
      <c r="AQ453" s="1"/>
      <c r="AR453" s="15"/>
      <c r="AS453" s="15"/>
      <c r="AT453" s="15"/>
      <c r="AU453" s="15"/>
      <c r="AV453" s="15"/>
      <c r="AW453" s="15"/>
      <c r="AX453" s="15"/>
      <c r="AY453" s="15"/>
      <c r="AZ453" s="15"/>
      <c r="BA453" s="15"/>
      <c r="BB453" s="15"/>
      <c r="BC453" s="15"/>
      <c r="BD453" s="102"/>
      <c r="BE453" s="15"/>
      <c r="BF453" s="15"/>
      <c r="BG453" s="15"/>
      <c r="BH453" s="15"/>
      <c r="BI453" s="15"/>
      <c r="BJ453" s="15"/>
      <c r="BK453" s="15"/>
      <c r="BL453" s="15"/>
      <c r="BM453" s="15"/>
      <c r="BN453" s="15"/>
      <c r="BO453" s="15"/>
      <c r="BP453" s="15"/>
      <c r="BQ453" s="242"/>
      <c r="BR453" s="15"/>
      <c r="BS453" s="15"/>
      <c r="BT453" s="15"/>
      <c r="BU453" s="15"/>
      <c r="BV453" s="15"/>
      <c r="BW453" s="15"/>
      <c r="BX453" s="15"/>
      <c r="BY453" s="15"/>
      <c r="BZ453" s="15"/>
      <c r="CA453" s="15"/>
      <c r="CB453" s="15"/>
      <c r="CC453" s="15"/>
      <c r="CD453" s="15"/>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row>
    <row r="454" spans="1:121" x14ac:dyDescent="0.2">
      <c r="A454" s="855"/>
      <c r="B454" s="855"/>
      <c r="C454" s="855"/>
      <c r="D454" s="1" t="s">
        <v>1912</v>
      </c>
      <c r="E454" s="855"/>
      <c r="F454" s="855"/>
      <c r="G454" s="855"/>
      <c r="H454" s="1"/>
      <c r="I454" s="1"/>
      <c r="J454" s="1"/>
      <c r="K454" s="1"/>
      <c r="L454" s="116"/>
      <c r="M454" s="116"/>
      <c r="N454" s="116"/>
      <c r="O454" s="116"/>
      <c r="P454" s="375"/>
      <c r="Q454" s="116"/>
      <c r="R454" s="116"/>
      <c r="S454" s="116"/>
      <c r="T454" s="116"/>
      <c r="U454" s="116"/>
      <c r="V454" s="116"/>
      <c r="W454" s="116"/>
      <c r="X454" s="116"/>
      <c r="Y454" s="116"/>
      <c r="Z454" s="116"/>
      <c r="AA454" s="116"/>
      <c r="AB454" s="116"/>
      <c r="AC454" s="116"/>
      <c r="AD454" s="116"/>
      <c r="AE454" s="116"/>
      <c r="AF454" s="116"/>
      <c r="AG454" s="116"/>
      <c r="AH454" s="1"/>
      <c r="AI454" s="46"/>
      <c r="AJ454" s="46"/>
      <c r="AK454" s="46"/>
      <c r="AL454" s="46"/>
      <c r="AM454" s="46"/>
      <c r="AN454" s="46"/>
      <c r="AO454" s="46"/>
      <c r="AP454" s="46"/>
      <c r="AQ454" s="1"/>
      <c r="AR454" s="15"/>
      <c r="AS454" s="15"/>
      <c r="AT454" s="15"/>
      <c r="AU454" s="15"/>
      <c r="AV454" s="15"/>
      <c r="AW454" s="15"/>
      <c r="AX454" s="15"/>
      <c r="AY454" s="15"/>
      <c r="AZ454" s="15"/>
      <c r="BA454" s="15"/>
      <c r="BB454" s="15"/>
      <c r="BC454" s="15"/>
      <c r="BD454" s="102"/>
      <c r="BE454" s="15"/>
      <c r="BF454" s="15"/>
      <c r="BG454" s="15"/>
      <c r="BH454" s="15"/>
      <c r="BI454" s="15"/>
      <c r="BJ454" s="15"/>
      <c r="BK454" s="15"/>
      <c r="BL454" s="15"/>
      <c r="BM454" s="15"/>
      <c r="BN454" s="15"/>
      <c r="BO454" s="15"/>
      <c r="BP454" s="15"/>
      <c r="BQ454" s="242"/>
      <c r="BR454" s="15"/>
      <c r="BS454" s="15"/>
      <c r="BT454" s="15"/>
      <c r="BU454" s="15"/>
      <c r="BV454" s="15"/>
      <c r="BW454" s="15"/>
      <c r="BX454" s="15"/>
      <c r="BY454" s="15"/>
      <c r="BZ454" s="15"/>
      <c r="CA454" s="15"/>
      <c r="CB454" s="15"/>
      <c r="CC454" s="15"/>
      <c r="CD454" s="15"/>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row>
    <row r="455" spans="1:121" x14ac:dyDescent="0.2">
      <c r="A455" s="855"/>
      <c r="B455" s="855"/>
      <c r="C455" s="855"/>
      <c r="D455" s="1" t="s">
        <v>1913</v>
      </c>
      <c r="E455" s="855"/>
      <c r="F455" s="855"/>
      <c r="G455" s="855"/>
      <c r="H455" s="1"/>
      <c r="I455" s="1"/>
      <c r="J455" s="1"/>
      <c r="K455" s="1"/>
      <c r="L455" s="116"/>
      <c r="M455" s="116"/>
      <c r="N455" s="116"/>
      <c r="O455" s="116"/>
      <c r="P455" s="375"/>
      <c r="Q455" s="116"/>
      <c r="R455" s="116"/>
      <c r="S455" s="116"/>
      <c r="T455" s="116"/>
      <c r="U455" s="116"/>
      <c r="V455" s="116"/>
      <c r="W455" s="116"/>
      <c r="X455" s="116"/>
      <c r="Y455" s="116"/>
      <c r="Z455" s="116"/>
      <c r="AA455" s="116"/>
      <c r="AB455" s="116"/>
      <c r="AC455" s="116"/>
      <c r="AD455" s="116"/>
      <c r="AE455" s="116"/>
      <c r="AF455" s="116"/>
      <c r="AG455" s="116"/>
      <c r="AH455" s="1"/>
      <c r="AI455" s="46"/>
      <c r="AJ455" s="46"/>
      <c r="AK455" s="46"/>
      <c r="AL455" s="46"/>
      <c r="AM455" s="46"/>
      <c r="AN455" s="46"/>
      <c r="AO455" s="46"/>
      <c r="AP455" s="46"/>
      <c r="AQ455" s="1"/>
      <c r="AR455" s="15"/>
      <c r="AS455" s="15"/>
      <c r="AT455" s="15"/>
      <c r="AU455" s="15"/>
      <c r="AV455" s="15"/>
      <c r="AW455" s="15"/>
      <c r="AX455" s="15"/>
      <c r="AY455" s="15"/>
      <c r="AZ455" s="15"/>
      <c r="BA455" s="15"/>
      <c r="BB455" s="15"/>
      <c r="BC455" s="15"/>
      <c r="BD455" s="102"/>
      <c r="BE455" s="15"/>
      <c r="BF455" s="15"/>
      <c r="BG455" s="15"/>
      <c r="BH455" s="15"/>
      <c r="BI455" s="15"/>
      <c r="BJ455" s="15"/>
      <c r="BK455" s="15"/>
      <c r="BL455" s="15"/>
      <c r="BM455" s="15"/>
      <c r="BN455" s="15"/>
      <c r="BO455" s="15"/>
      <c r="BP455" s="15"/>
      <c r="BQ455" s="242"/>
      <c r="BR455" s="15"/>
      <c r="BS455" s="15"/>
      <c r="BT455" s="15"/>
      <c r="BU455" s="15"/>
      <c r="BV455" s="15"/>
      <c r="BW455" s="15"/>
      <c r="BX455" s="15"/>
      <c r="BY455" s="15"/>
      <c r="BZ455" s="15"/>
      <c r="CA455" s="15"/>
      <c r="CB455" s="15"/>
      <c r="CC455" s="15"/>
      <c r="CD455" s="15"/>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row>
    <row r="456" spans="1:121" x14ac:dyDescent="0.2">
      <c r="A456" s="855"/>
      <c r="B456" s="855"/>
      <c r="C456" s="855"/>
      <c r="D456" s="1" t="s">
        <v>1914</v>
      </c>
      <c r="E456" s="855"/>
      <c r="F456" s="855"/>
      <c r="G456" s="855"/>
      <c r="H456" s="1"/>
      <c r="I456" s="1"/>
      <c r="J456" s="1"/>
      <c r="K456" s="1"/>
      <c r="L456" s="116"/>
      <c r="M456" s="116"/>
      <c r="N456" s="116"/>
      <c r="O456" s="116"/>
      <c r="P456" s="375"/>
      <c r="Q456" s="116"/>
      <c r="R456" s="116"/>
      <c r="S456" s="116"/>
      <c r="T456" s="116"/>
      <c r="U456" s="116"/>
      <c r="V456" s="116"/>
      <c r="W456" s="116"/>
      <c r="X456" s="116"/>
      <c r="Y456" s="116"/>
      <c r="Z456" s="116"/>
      <c r="AA456" s="116"/>
      <c r="AB456" s="116"/>
      <c r="AC456" s="116"/>
      <c r="AD456" s="116"/>
      <c r="AE456" s="116"/>
      <c r="AF456" s="116"/>
      <c r="AG456" s="116"/>
      <c r="AH456" s="1"/>
      <c r="AI456" s="46"/>
      <c r="AJ456" s="46"/>
      <c r="AK456" s="46"/>
      <c r="AL456" s="46"/>
      <c r="AM456" s="46"/>
      <c r="AN456" s="46"/>
      <c r="AO456" s="46"/>
      <c r="AP456" s="46"/>
      <c r="AQ456" s="1"/>
      <c r="AR456" s="15"/>
      <c r="AS456" s="15"/>
      <c r="AT456" s="15"/>
      <c r="AU456" s="15"/>
      <c r="AV456" s="15"/>
      <c r="AW456" s="15"/>
      <c r="AX456" s="15"/>
      <c r="AY456" s="15"/>
      <c r="AZ456" s="15"/>
      <c r="BA456" s="15"/>
      <c r="BB456" s="15"/>
      <c r="BC456" s="15"/>
      <c r="BD456" s="102"/>
      <c r="BE456" s="15"/>
      <c r="BF456" s="15"/>
      <c r="BG456" s="15"/>
      <c r="BH456" s="15"/>
      <c r="BI456" s="15"/>
      <c r="BJ456" s="15"/>
      <c r="BK456" s="15"/>
      <c r="BL456" s="15"/>
      <c r="BM456" s="15"/>
      <c r="BN456" s="15"/>
      <c r="BO456" s="15"/>
      <c r="BP456" s="15"/>
      <c r="BQ456" s="242"/>
      <c r="BR456" s="15"/>
      <c r="BS456" s="15"/>
      <c r="BT456" s="15"/>
      <c r="BU456" s="15"/>
      <c r="BV456" s="15"/>
      <c r="BW456" s="15"/>
      <c r="BX456" s="15"/>
      <c r="BY456" s="15"/>
      <c r="BZ456" s="15"/>
      <c r="CA456" s="15"/>
      <c r="CB456" s="15"/>
      <c r="CC456" s="15"/>
      <c r="CD456" s="15"/>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row>
    <row r="457" spans="1:121" x14ac:dyDescent="0.2">
      <c r="A457" s="856"/>
      <c r="B457" s="856"/>
      <c r="C457" s="856"/>
      <c r="D457" s="1" t="s">
        <v>1915</v>
      </c>
      <c r="E457" s="856"/>
      <c r="F457" s="856"/>
      <c r="G457" s="856"/>
      <c r="H457" s="1"/>
      <c r="I457" s="1"/>
      <c r="J457" s="1"/>
      <c r="K457" s="1"/>
      <c r="L457" s="116"/>
      <c r="M457" s="116"/>
      <c r="N457" s="116"/>
      <c r="O457" s="116"/>
      <c r="P457" s="375"/>
      <c r="Q457" s="116"/>
      <c r="R457" s="116"/>
      <c r="S457" s="116"/>
      <c r="T457" s="116"/>
      <c r="U457" s="116"/>
      <c r="V457" s="116"/>
      <c r="W457" s="116"/>
      <c r="X457" s="116"/>
      <c r="Y457" s="116"/>
      <c r="Z457" s="116"/>
      <c r="AA457" s="116"/>
      <c r="AB457" s="116"/>
      <c r="AC457" s="116"/>
      <c r="AD457" s="116"/>
      <c r="AE457" s="116"/>
      <c r="AF457" s="116"/>
      <c r="AG457" s="116"/>
      <c r="AH457" s="1"/>
      <c r="AI457" s="46"/>
      <c r="AJ457" s="46"/>
      <c r="AK457" s="46"/>
      <c r="AL457" s="46"/>
      <c r="AM457" s="46"/>
      <c r="AN457" s="46"/>
      <c r="AO457" s="46"/>
      <c r="AP457" s="46"/>
      <c r="AQ457" s="1"/>
      <c r="AR457" s="15"/>
      <c r="AS457" s="15"/>
      <c r="AT457" s="15"/>
      <c r="AU457" s="15"/>
      <c r="AV457" s="15"/>
      <c r="AW457" s="15"/>
      <c r="AX457" s="15"/>
      <c r="AY457" s="15"/>
      <c r="AZ457" s="15"/>
      <c r="BA457" s="15"/>
      <c r="BB457" s="15"/>
      <c r="BC457" s="15"/>
      <c r="BD457" s="102"/>
      <c r="BE457" s="15"/>
      <c r="BF457" s="15"/>
      <c r="BG457" s="15"/>
      <c r="BH457" s="15"/>
      <c r="BI457" s="15"/>
      <c r="BJ457" s="15"/>
      <c r="BK457" s="15"/>
      <c r="BL457" s="15"/>
      <c r="BM457" s="15"/>
      <c r="BN457" s="15"/>
      <c r="BO457" s="15"/>
      <c r="BP457" s="15"/>
      <c r="BQ457" s="242"/>
      <c r="BR457" s="15"/>
      <c r="BS457" s="15"/>
      <c r="BT457" s="15"/>
      <c r="BU457" s="15"/>
      <c r="BV457" s="15"/>
      <c r="BW457" s="15"/>
      <c r="BX457" s="15"/>
      <c r="BY457" s="15"/>
      <c r="BZ457" s="15"/>
      <c r="CA457" s="15"/>
      <c r="CB457" s="15"/>
      <c r="CC457" s="15"/>
      <c r="CD457" s="15"/>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row>
    <row r="458" spans="1:121" s="624" customFormat="1" x14ac:dyDescent="0.2">
      <c r="A458" s="854"/>
      <c r="B458" s="854"/>
      <c r="C458" s="854" t="s">
        <v>1977</v>
      </c>
      <c r="D458" s="469" t="s">
        <v>1916</v>
      </c>
      <c r="E458" s="854"/>
      <c r="F458" s="469"/>
      <c r="G458" s="469"/>
      <c r="H458" s="469"/>
      <c r="I458" s="469"/>
      <c r="J458" s="469"/>
      <c r="K458" s="469"/>
      <c r="L458" s="626"/>
      <c r="M458" s="626"/>
      <c r="N458" s="626"/>
      <c r="O458" s="626"/>
      <c r="P458" s="627"/>
      <c r="Q458" s="626"/>
      <c r="R458" s="626"/>
      <c r="S458" s="626"/>
      <c r="T458" s="626"/>
      <c r="U458" s="626"/>
      <c r="V458" s="626"/>
      <c r="W458" s="626"/>
      <c r="X458" s="626"/>
      <c r="Y458" s="626"/>
      <c r="Z458" s="626"/>
      <c r="AA458" s="626"/>
      <c r="AB458" s="626"/>
      <c r="AC458" s="626"/>
      <c r="AD458" s="626"/>
      <c r="AE458" s="626"/>
      <c r="AF458" s="626"/>
      <c r="AG458" s="626"/>
      <c r="AH458" s="469"/>
      <c r="AI458" s="617"/>
      <c r="AJ458" s="617"/>
      <c r="AK458" s="617"/>
      <c r="AL458" s="617"/>
      <c r="AM458" s="617"/>
      <c r="AN458" s="617"/>
      <c r="AO458" s="617"/>
      <c r="AP458" s="617"/>
      <c r="AQ458" s="469"/>
      <c r="AR458" s="618"/>
      <c r="AS458" s="618"/>
      <c r="AT458" s="618"/>
      <c r="AU458" s="618"/>
      <c r="AV458" s="618"/>
      <c r="AW458" s="618"/>
      <c r="AX458" s="618"/>
      <c r="AY458" s="618"/>
      <c r="AZ458" s="618"/>
      <c r="BA458" s="618"/>
      <c r="BB458" s="618"/>
      <c r="BC458" s="618"/>
      <c r="BD458" s="620"/>
      <c r="BE458" s="618"/>
      <c r="BF458" s="618"/>
      <c r="BG458" s="618"/>
      <c r="BH458" s="618"/>
      <c r="BI458" s="618"/>
      <c r="BJ458" s="618"/>
      <c r="BK458" s="618"/>
      <c r="BL458" s="618"/>
      <c r="BM458" s="618"/>
      <c r="BN458" s="618"/>
      <c r="BO458" s="618"/>
      <c r="BP458" s="618"/>
      <c r="BQ458" s="634"/>
      <c r="BR458" s="618"/>
      <c r="BS458" s="618"/>
      <c r="BT458" s="618"/>
      <c r="BU458" s="618"/>
      <c r="BV458" s="618"/>
      <c r="BW458" s="618"/>
      <c r="BX458" s="618"/>
      <c r="BY458" s="618"/>
      <c r="BZ458" s="618"/>
      <c r="CA458" s="618"/>
      <c r="CB458" s="618"/>
      <c r="CC458" s="618"/>
      <c r="CD458" s="618"/>
      <c r="CE458" s="469"/>
      <c r="CF458" s="469"/>
      <c r="CG458" s="469"/>
      <c r="CH458" s="469"/>
      <c r="CI458" s="469"/>
      <c r="CJ458" s="469"/>
      <c r="CK458" s="469"/>
      <c r="CL458" s="469"/>
      <c r="CM458" s="469"/>
      <c r="CN458" s="469"/>
      <c r="CO458" s="469"/>
      <c r="CP458" s="469"/>
      <c r="CQ458" s="469"/>
      <c r="CR458" s="469"/>
      <c r="CS458" s="469"/>
      <c r="CT458" s="469"/>
      <c r="CU458" s="469"/>
      <c r="CV458" s="469"/>
      <c r="CW458" s="469"/>
      <c r="CX458" s="469"/>
      <c r="CY458" s="469"/>
      <c r="CZ458" s="469"/>
      <c r="DA458" s="469"/>
      <c r="DB458" s="469"/>
      <c r="DC458" s="469"/>
      <c r="DD458" s="469"/>
      <c r="DE458" s="469"/>
      <c r="DF458" s="469"/>
      <c r="DG458" s="469"/>
      <c r="DH458" s="469"/>
      <c r="DI458" s="469"/>
      <c r="DJ458" s="469"/>
      <c r="DK458" s="469"/>
      <c r="DL458" s="469"/>
      <c r="DM458" s="469">
        <v>173424.02</v>
      </c>
      <c r="DN458" s="469"/>
      <c r="DO458" s="469"/>
      <c r="DP458" s="469">
        <f>201283.52+198489.25</f>
        <v>399772.77</v>
      </c>
      <c r="DQ458" s="469"/>
    </row>
    <row r="459" spans="1:121" x14ac:dyDescent="0.2">
      <c r="A459" s="855"/>
      <c r="B459" s="855"/>
      <c r="C459" s="855"/>
      <c r="D459" s="1" t="s">
        <v>1154</v>
      </c>
      <c r="E459" s="855"/>
      <c r="F459" s="1"/>
      <c r="G459" s="1"/>
      <c r="H459" s="1"/>
      <c r="I459" s="1"/>
      <c r="J459" s="1"/>
      <c r="K459" s="1"/>
      <c r="L459" s="116"/>
      <c r="M459" s="116"/>
      <c r="N459" s="116"/>
      <c r="O459" s="116"/>
      <c r="P459" s="375"/>
      <c r="Q459" s="116"/>
      <c r="R459" s="116"/>
      <c r="S459" s="116"/>
      <c r="T459" s="116"/>
      <c r="U459" s="116"/>
      <c r="V459" s="116"/>
      <c r="W459" s="116"/>
      <c r="X459" s="116"/>
      <c r="Y459" s="116"/>
      <c r="Z459" s="116"/>
      <c r="AA459" s="116"/>
      <c r="AB459" s="116"/>
      <c r="AC459" s="116"/>
      <c r="AD459" s="116"/>
      <c r="AE459" s="116"/>
      <c r="AF459" s="116"/>
      <c r="AG459" s="116"/>
      <c r="AH459" s="1"/>
      <c r="AI459" s="46"/>
      <c r="AJ459" s="46"/>
      <c r="AK459" s="46"/>
      <c r="AL459" s="46"/>
      <c r="AM459" s="46"/>
      <c r="AN459" s="46"/>
      <c r="AO459" s="46"/>
      <c r="AP459" s="46"/>
      <c r="AQ459" s="1"/>
      <c r="AR459" s="15"/>
      <c r="AS459" s="15"/>
      <c r="AT459" s="15"/>
      <c r="AU459" s="15"/>
      <c r="AV459" s="15"/>
      <c r="AW459" s="15"/>
      <c r="AX459" s="15"/>
      <c r="AY459" s="15"/>
      <c r="AZ459" s="15"/>
      <c r="BA459" s="15"/>
      <c r="BB459" s="15"/>
      <c r="BC459" s="15"/>
      <c r="BD459" s="102"/>
      <c r="BE459" s="15"/>
      <c r="BF459" s="15"/>
      <c r="BG459" s="15"/>
      <c r="BH459" s="15"/>
      <c r="BI459" s="15"/>
      <c r="BJ459" s="15"/>
      <c r="BK459" s="15"/>
      <c r="BL459" s="15"/>
      <c r="BM459" s="15"/>
      <c r="BN459" s="15"/>
      <c r="BO459" s="15"/>
      <c r="BP459" s="15"/>
      <c r="BQ459" s="242"/>
      <c r="BR459" s="15"/>
      <c r="BS459" s="15"/>
      <c r="BT459" s="15"/>
      <c r="BU459" s="15"/>
      <c r="BV459" s="15"/>
      <c r="BW459" s="15"/>
      <c r="BX459" s="15"/>
      <c r="BY459" s="15"/>
      <c r="BZ459" s="15"/>
      <c r="CA459" s="15"/>
      <c r="CB459" s="15"/>
      <c r="CC459" s="15"/>
      <c r="CD459" s="15"/>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row>
    <row r="460" spans="1:121" s="624" customFormat="1" x14ac:dyDescent="0.2">
      <c r="A460" s="855"/>
      <c r="B460" s="855"/>
      <c r="C460" s="855"/>
      <c r="D460" s="469" t="s">
        <v>1917</v>
      </c>
      <c r="E460" s="855"/>
      <c r="F460" s="469"/>
      <c r="G460" s="469"/>
      <c r="H460" s="469"/>
      <c r="I460" s="469"/>
      <c r="J460" s="469"/>
      <c r="K460" s="469"/>
      <c r="L460" s="626"/>
      <c r="M460" s="626"/>
      <c r="N460" s="626"/>
      <c r="O460" s="626"/>
      <c r="P460" s="627"/>
      <c r="Q460" s="626"/>
      <c r="R460" s="626"/>
      <c r="S460" s="626"/>
      <c r="T460" s="626"/>
      <c r="U460" s="626"/>
      <c r="V460" s="626"/>
      <c r="W460" s="626"/>
      <c r="X460" s="626"/>
      <c r="Y460" s="626"/>
      <c r="Z460" s="626"/>
      <c r="AA460" s="626"/>
      <c r="AB460" s="626"/>
      <c r="AC460" s="626"/>
      <c r="AD460" s="626"/>
      <c r="AE460" s="626"/>
      <c r="AF460" s="626"/>
      <c r="AG460" s="626"/>
      <c r="AH460" s="469"/>
      <c r="AI460" s="617"/>
      <c r="AJ460" s="617"/>
      <c r="AK460" s="617"/>
      <c r="AL460" s="617"/>
      <c r="AM460" s="617"/>
      <c r="AN460" s="617"/>
      <c r="AO460" s="617"/>
      <c r="AP460" s="617"/>
      <c r="AQ460" s="469"/>
      <c r="AR460" s="618"/>
      <c r="AS460" s="618"/>
      <c r="AT460" s="618"/>
      <c r="AU460" s="618"/>
      <c r="AV460" s="618"/>
      <c r="AW460" s="618"/>
      <c r="AX460" s="618"/>
      <c r="AY460" s="618"/>
      <c r="AZ460" s="618"/>
      <c r="BA460" s="618"/>
      <c r="BB460" s="618"/>
      <c r="BC460" s="618"/>
      <c r="BD460" s="620"/>
      <c r="BE460" s="618"/>
      <c r="BF460" s="618"/>
      <c r="BG460" s="618"/>
      <c r="BH460" s="618"/>
      <c r="BI460" s="618"/>
      <c r="BJ460" s="618"/>
      <c r="BK460" s="618"/>
      <c r="BL460" s="618"/>
      <c r="BM460" s="618"/>
      <c r="BN460" s="618"/>
      <c r="BO460" s="618"/>
      <c r="BP460" s="618"/>
      <c r="BQ460" s="634"/>
      <c r="BR460" s="618"/>
      <c r="BS460" s="618"/>
      <c r="BT460" s="618"/>
      <c r="BU460" s="618"/>
      <c r="BV460" s="618"/>
      <c r="BW460" s="618"/>
      <c r="BX460" s="618"/>
      <c r="BY460" s="618"/>
      <c r="BZ460" s="618"/>
      <c r="CA460" s="618"/>
      <c r="CB460" s="618"/>
      <c r="CC460" s="618"/>
      <c r="CD460" s="618"/>
      <c r="CE460" s="469"/>
      <c r="CF460" s="469"/>
      <c r="CG460" s="469"/>
      <c r="CH460" s="469"/>
      <c r="CI460" s="469"/>
      <c r="CJ460" s="469"/>
      <c r="CK460" s="469"/>
      <c r="CL460" s="469"/>
      <c r="CM460" s="469"/>
      <c r="CN460" s="469"/>
      <c r="CO460" s="469"/>
      <c r="CP460" s="469"/>
      <c r="CQ460" s="469"/>
      <c r="CR460" s="469"/>
      <c r="CS460" s="469"/>
      <c r="CT460" s="469"/>
      <c r="CU460" s="469"/>
      <c r="CV460" s="469"/>
      <c r="CW460" s="469"/>
      <c r="CX460" s="469"/>
      <c r="CY460" s="469"/>
      <c r="CZ460" s="469"/>
      <c r="DA460" s="469"/>
      <c r="DB460" s="469"/>
      <c r="DC460" s="469"/>
      <c r="DD460" s="469"/>
      <c r="DE460" s="469"/>
      <c r="DF460" s="469"/>
      <c r="DG460" s="469"/>
      <c r="DH460" s="469"/>
      <c r="DI460" s="469"/>
      <c r="DJ460" s="469"/>
      <c r="DK460" s="469"/>
      <c r="DL460" s="469"/>
      <c r="DM460" s="469"/>
      <c r="DN460" s="469"/>
      <c r="DO460" s="469">
        <v>232378.2</v>
      </c>
      <c r="DP460" s="469"/>
      <c r="DQ460" s="469"/>
    </row>
    <row r="461" spans="1:121" x14ac:dyDescent="0.2">
      <c r="A461" s="855"/>
      <c r="B461" s="855"/>
      <c r="C461" s="855"/>
      <c r="D461" s="1" t="s">
        <v>1918</v>
      </c>
      <c r="E461" s="855"/>
      <c r="F461" s="1"/>
      <c r="G461" s="1"/>
      <c r="H461" s="1"/>
      <c r="I461" s="1"/>
      <c r="J461" s="1"/>
      <c r="K461" s="1"/>
      <c r="L461" s="116"/>
      <c r="M461" s="116"/>
      <c r="N461" s="116"/>
      <c r="O461" s="116"/>
      <c r="P461" s="375"/>
      <c r="Q461" s="116"/>
      <c r="R461" s="116"/>
      <c r="S461" s="116"/>
      <c r="T461" s="116"/>
      <c r="U461" s="116"/>
      <c r="V461" s="116"/>
      <c r="W461" s="116"/>
      <c r="X461" s="116"/>
      <c r="Y461" s="116"/>
      <c r="Z461" s="116"/>
      <c r="AA461" s="116"/>
      <c r="AB461" s="116"/>
      <c r="AC461" s="116"/>
      <c r="AD461" s="116"/>
      <c r="AE461" s="116"/>
      <c r="AF461" s="116"/>
      <c r="AG461" s="116"/>
      <c r="AH461" s="1"/>
      <c r="AI461" s="46"/>
      <c r="AJ461" s="46"/>
      <c r="AK461" s="46"/>
      <c r="AL461" s="46"/>
      <c r="AM461" s="46"/>
      <c r="AN461" s="46"/>
      <c r="AO461" s="46"/>
      <c r="AP461" s="46"/>
      <c r="AQ461" s="1"/>
      <c r="AR461" s="15"/>
      <c r="AS461" s="15"/>
      <c r="AT461" s="15"/>
      <c r="AU461" s="15"/>
      <c r="AV461" s="15"/>
      <c r="AW461" s="15"/>
      <c r="AX461" s="15"/>
      <c r="AY461" s="15"/>
      <c r="AZ461" s="15"/>
      <c r="BA461" s="15"/>
      <c r="BB461" s="15"/>
      <c r="BC461" s="15"/>
      <c r="BD461" s="102"/>
      <c r="BE461" s="15"/>
      <c r="BF461" s="15"/>
      <c r="BG461" s="15"/>
      <c r="BH461" s="15"/>
      <c r="BI461" s="15"/>
      <c r="BJ461" s="15"/>
      <c r="BK461" s="15"/>
      <c r="BL461" s="15"/>
      <c r="BM461" s="15"/>
      <c r="BN461" s="15"/>
      <c r="BO461" s="15"/>
      <c r="BP461" s="15"/>
      <c r="BQ461" s="242"/>
      <c r="BR461" s="15"/>
      <c r="BS461" s="15"/>
      <c r="BT461" s="15"/>
      <c r="BU461" s="15"/>
      <c r="BV461" s="15"/>
      <c r="BW461" s="15"/>
      <c r="BX461" s="15"/>
      <c r="BY461" s="15"/>
      <c r="BZ461" s="15"/>
      <c r="CA461" s="15"/>
      <c r="CB461" s="15"/>
      <c r="CC461" s="15"/>
      <c r="CD461" s="15"/>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row>
    <row r="462" spans="1:121" x14ac:dyDescent="0.2">
      <c r="A462" s="855"/>
      <c r="B462" s="855"/>
      <c r="C462" s="855"/>
      <c r="D462" s="1" t="s">
        <v>1919</v>
      </c>
      <c r="E462" s="855"/>
      <c r="F462" s="1"/>
      <c r="G462" s="1"/>
      <c r="H462" s="1"/>
      <c r="I462" s="1"/>
      <c r="J462" s="1"/>
      <c r="K462" s="1"/>
      <c r="L462" s="116"/>
      <c r="M462" s="116"/>
      <c r="N462" s="116"/>
      <c r="O462" s="116"/>
      <c r="P462" s="375"/>
      <c r="Q462" s="116"/>
      <c r="R462" s="116"/>
      <c r="S462" s="116"/>
      <c r="T462" s="116"/>
      <c r="U462" s="116"/>
      <c r="V462" s="116"/>
      <c r="W462" s="116"/>
      <c r="X462" s="116"/>
      <c r="Y462" s="116"/>
      <c r="Z462" s="116"/>
      <c r="AA462" s="116"/>
      <c r="AB462" s="116"/>
      <c r="AC462" s="116"/>
      <c r="AD462" s="116"/>
      <c r="AE462" s="116"/>
      <c r="AF462" s="116"/>
      <c r="AG462" s="116"/>
      <c r="AH462" s="1"/>
      <c r="AI462" s="46"/>
      <c r="AJ462" s="46"/>
      <c r="AK462" s="46"/>
      <c r="AL462" s="46"/>
      <c r="AM462" s="46"/>
      <c r="AN462" s="46"/>
      <c r="AO462" s="46"/>
      <c r="AP462" s="46"/>
      <c r="AQ462" s="1"/>
      <c r="AR462" s="15"/>
      <c r="AS462" s="15"/>
      <c r="AT462" s="15"/>
      <c r="AU462" s="15"/>
      <c r="AV462" s="15"/>
      <c r="AW462" s="15"/>
      <c r="AX462" s="15"/>
      <c r="AY462" s="15"/>
      <c r="AZ462" s="15"/>
      <c r="BA462" s="15"/>
      <c r="BB462" s="15"/>
      <c r="BC462" s="15"/>
      <c r="BD462" s="102"/>
      <c r="BE462" s="15"/>
      <c r="BF462" s="15"/>
      <c r="BG462" s="15"/>
      <c r="BH462" s="15"/>
      <c r="BI462" s="15"/>
      <c r="BJ462" s="15"/>
      <c r="BK462" s="15"/>
      <c r="BL462" s="15"/>
      <c r="BM462" s="15"/>
      <c r="BN462" s="15"/>
      <c r="BO462" s="15"/>
      <c r="BP462" s="15"/>
      <c r="BQ462" s="242"/>
      <c r="BR462" s="15"/>
      <c r="BS462" s="15"/>
      <c r="BT462" s="15"/>
      <c r="BU462" s="15"/>
      <c r="BV462" s="15"/>
      <c r="BW462" s="15"/>
      <c r="BX462" s="15"/>
      <c r="BY462" s="15"/>
      <c r="BZ462" s="15"/>
      <c r="CA462" s="15"/>
      <c r="CB462" s="15"/>
      <c r="CC462" s="15"/>
      <c r="CD462" s="15"/>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row>
    <row r="463" spans="1:121" x14ac:dyDescent="0.2">
      <c r="A463" s="855"/>
      <c r="B463" s="855"/>
      <c r="C463" s="855"/>
      <c r="D463" s="1" t="s">
        <v>1920</v>
      </c>
      <c r="E463" s="855"/>
      <c r="F463" s="1"/>
      <c r="G463" s="1"/>
      <c r="H463" s="1"/>
      <c r="I463" s="1"/>
      <c r="J463" s="1"/>
      <c r="K463" s="1"/>
      <c r="L463" s="116"/>
      <c r="M463" s="116"/>
      <c r="N463" s="116"/>
      <c r="O463" s="116"/>
      <c r="P463" s="375"/>
      <c r="Q463" s="116"/>
      <c r="R463" s="116"/>
      <c r="S463" s="116"/>
      <c r="T463" s="116"/>
      <c r="U463" s="116"/>
      <c r="V463" s="116"/>
      <c r="W463" s="116"/>
      <c r="X463" s="116"/>
      <c r="Y463" s="116"/>
      <c r="Z463" s="116"/>
      <c r="AA463" s="116"/>
      <c r="AB463" s="116"/>
      <c r="AC463" s="116"/>
      <c r="AD463" s="116"/>
      <c r="AE463" s="116"/>
      <c r="AF463" s="116"/>
      <c r="AG463" s="116"/>
      <c r="AH463" s="1"/>
      <c r="AI463" s="46"/>
      <c r="AJ463" s="46"/>
      <c r="AK463" s="46"/>
      <c r="AL463" s="46"/>
      <c r="AM463" s="46"/>
      <c r="AN463" s="46"/>
      <c r="AO463" s="46"/>
      <c r="AP463" s="46"/>
      <c r="AQ463" s="1"/>
      <c r="AR463" s="15"/>
      <c r="AS463" s="15"/>
      <c r="AT463" s="15"/>
      <c r="AU463" s="15"/>
      <c r="AV463" s="15"/>
      <c r="AW463" s="15"/>
      <c r="AX463" s="15"/>
      <c r="AY463" s="15"/>
      <c r="AZ463" s="15"/>
      <c r="BA463" s="15"/>
      <c r="BB463" s="15"/>
      <c r="BC463" s="15"/>
      <c r="BD463" s="102"/>
      <c r="BE463" s="15"/>
      <c r="BF463" s="15"/>
      <c r="BG463" s="15"/>
      <c r="BH463" s="15"/>
      <c r="BI463" s="15"/>
      <c r="BJ463" s="15"/>
      <c r="BK463" s="15"/>
      <c r="BL463" s="15"/>
      <c r="BM463" s="15"/>
      <c r="BN463" s="15"/>
      <c r="BO463" s="15"/>
      <c r="BP463" s="15"/>
      <c r="BQ463" s="242"/>
      <c r="BR463" s="15"/>
      <c r="BS463" s="15"/>
      <c r="BT463" s="15"/>
      <c r="BU463" s="15"/>
      <c r="BV463" s="15"/>
      <c r="BW463" s="15"/>
      <c r="BX463" s="15"/>
      <c r="BY463" s="15"/>
      <c r="BZ463" s="15"/>
      <c r="CA463" s="15"/>
      <c r="CB463" s="15"/>
      <c r="CC463" s="15"/>
      <c r="CD463" s="15"/>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row>
    <row r="464" spans="1:121" x14ac:dyDescent="0.2">
      <c r="A464" s="855"/>
      <c r="B464" s="855"/>
      <c r="C464" s="855"/>
      <c r="D464" s="1" t="s">
        <v>1921</v>
      </c>
      <c r="E464" s="855"/>
      <c r="F464" s="1"/>
      <c r="G464" s="1"/>
      <c r="H464" s="1"/>
      <c r="I464" s="1"/>
      <c r="J464" s="1"/>
      <c r="K464" s="1"/>
      <c r="L464" s="116"/>
      <c r="M464" s="116"/>
      <c r="N464" s="116"/>
      <c r="O464" s="116"/>
      <c r="P464" s="375"/>
      <c r="Q464" s="116"/>
      <c r="R464" s="116"/>
      <c r="S464" s="116"/>
      <c r="T464" s="116"/>
      <c r="U464" s="116"/>
      <c r="V464" s="116"/>
      <c r="W464" s="116"/>
      <c r="X464" s="116"/>
      <c r="Y464" s="116"/>
      <c r="Z464" s="116"/>
      <c r="AA464" s="116"/>
      <c r="AB464" s="116"/>
      <c r="AC464" s="116"/>
      <c r="AD464" s="116"/>
      <c r="AE464" s="116"/>
      <c r="AF464" s="116"/>
      <c r="AG464" s="116"/>
      <c r="AH464" s="1"/>
      <c r="AI464" s="46"/>
      <c r="AJ464" s="46"/>
      <c r="AK464" s="46"/>
      <c r="AL464" s="46"/>
      <c r="AM464" s="46"/>
      <c r="AN464" s="46"/>
      <c r="AO464" s="46"/>
      <c r="AP464" s="46"/>
      <c r="AQ464" s="1"/>
      <c r="AR464" s="15"/>
      <c r="AS464" s="15"/>
      <c r="AT464" s="15"/>
      <c r="AU464" s="15"/>
      <c r="AV464" s="15"/>
      <c r="AW464" s="15"/>
      <c r="AX464" s="15"/>
      <c r="AY464" s="15"/>
      <c r="AZ464" s="15"/>
      <c r="BA464" s="15"/>
      <c r="BB464" s="15"/>
      <c r="BC464" s="15"/>
      <c r="BD464" s="102"/>
      <c r="BE464" s="15"/>
      <c r="BF464" s="15"/>
      <c r="BG464" s="15"/>
      <c r="BH464" s="15"/>
      <c r="BI464" s="15"/>
      <c r="BJ464" s="15"/>
      <c r="BK464" s="15"/>
      <c r="BL464" s="15"/>
      <c r="BM464" s="15"/>
      <c r="BN464" s="15"/>
      <c r="BO464" s="15"/>
      <c r="BP464" s="15"/>
      <c r="BQ464" s="242"/>
      <c r="BR464" s="15"/>
      <c r="BS464" s="15"/>
      <c r="BT464" s="15"/>
      <c r="BU464" s="15"/>
      <c r="BV464" s="15"/>
      <c r="BW464" s="15"/>
      <c r="BX464" s="15"/>
      <c r="BY464" s="15"/>
      <c r="BZ464" s="15"/>
      <c r="CA464" s="15"/>
      <c r="CB464" s="15"/>
      <c r="CC464" s="15"/>
      <c r="CD464" s="15"/>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row>
    <row r="465" spans="1:121" s="624" customFormat="1" x14ac:dyDescent="0.2">
      <c r="A465" s="855"/>
      <c r="B465" s="855"/>
      <c r="C465" s="855"/>
      <c r="D465" s="469" t="s">
        <v>1699</v>
      </c>
      <c r="E465" s="855"/>
      <c r="F465" s="469"/>
      <c r="G465" s="469"/>
      <c r="H465" s="469"/>
      <c r="I465" s="469"/>
      <c r="J465" s="469"/>
      <c r="K465" s="469"/>
      <c r="L465" s="626"/>
      <c r="M465" s="626"/>
      <c r="N465" s="626"/>
      <c r="O465" s="626"/>
      <c r="P465" s="627"/>
      <c r="Q465" s="626"/>
      <c r="R465" s="626"/>
      <c r="S465" s="626"/>
      <c r="T465" s="626"/>
      <c r="U465" s="626"/>
      <c r="V465" s="626"/>
      <c r="W465" s="626"/>
      <c r="X465" s="626"/>
      <c r="Y465" s="626"/>
      <c r="Z465" s="626"/>
      <c r="AA465" s="626"/>
      <c r="AB465" s="626"/>
      <c r="AC465" s="626"/>
      <c r="AD465" s="626"/>
      <c r="AE465" s="626"/>
      <c r="AF465" s="626"/>
      <c r="AG465" s="626"/>
      <c r="AH465" s="469"/>
      <c r="AI465" s="617"/>
      <c r="AJ465" s="617"/>
      <c r="AK465" s="617"/>
      <c r="AL465" s="617"/>
      <c r="AM465" s="617"/>
      <c r="AN465" s="617"/>
      <c r="AO465" s="617"/>
      <c r="AP465" s="617"/>
      <c r="AQ465" s="469"/>
      <c r="AR465" s="618"/>
      <c r="AS465" s="618"/>
      <c r="AT465" s="618"/>
      <c r="AU465" s="618"/>
      <c r="AV465" s="618"/>
      <c r="AW465" s="618"/>
      <c r="AX465" s="618"/>
      <c r="AY465" s="618"/>
      <c r="AZ465" s="618"/>
      <c r="BA465" s="618"/>
      <c r="BB465" s="618"/>
      <c r="BC465" s="618"/>
      <c r="BD465" s="620"/>
      <c r="BE465" s="618"/>
      <c r="BF465" s="618"/>
      <c r="BG465" s="618"/>
      <c r="BH465" s="618"/>
      <c r="BI465" s="618"/>
      <c r="BJ465" s="618"/>
      <c r="BK465" s="618"/>
      <c r="BL465" s="618"/>
      <c r="BM465" s="618"/>
      <c r="BN465" s="618"/>
      <c r="BO465" s="618"/>
      <c r="BP465" s="618"/>
      <c r="BQ465" s="634"/>
      <c r="BR465" s="618"/>
      <c r="BS465" s="618"/>
      <c r="BT465" s="618"/>
      <c r="BU465" s="618"/>
      <c r="BV465" s="618"/>
      <c r="BW465" s="618"/>
      <c r="BX465" s="618"/>
      <c r="BY465" s="618"/>
      <c r="BZ465" s="618"/>
      <c r="CA465" s="618"/>
      <c r="CB465" s="618"/>
      <c r="CC465" s="618"/>
      <c r="CD465" s="618"/>
      <c r="CE465" s="469"/>
      <c r="CF465" s="469"/>
      <c r="CG465" s="469"/>
      <c r="CH465" s="469"/>
      <c r="CI465" s="469"/>
      <c r="CJ465" s="469"/>
      <c r="CK465" s="469"/>
      <c r="CL465" s="469"/>
      <c r="CM465" s="469"/>
      <c r="CN465" s="469"/>
      <c r="CO465" s="469"/>
      <c r="CP465" s="469"/>
      <c r="CQ465" s="469"/>
      <c r="CR465" s="469"/>
      <c r="CS465" s="469"/>
      <c r="CT465" s="469"/>
      <c r="CU465" s="469"/>
      <c r="CV465" s="469"/>
      <c r="CW465" s="469"/>
      <c r="CX465" s="469"/>
      <c r="CY465" s="469"/>
      <c r="CZ465" s="469"/>
      <c r="DA465" s="469"/>
      <c r="DB465" s="469"/>
      <c r="DC465" s="469"/>
      <c r="DD465" s="469"/>
      <c r="DE465" s="469"/>
      <c r="DF465" s="469"/>
      <c r="DG465" s="469"/>
      <c r="DH465" s="469"/>
      <c r="DI465" s="469"/>
      <c r="DJ465" s="469"/>
      <c r="DK465" s="469"/>
      <c r="DL465" s="469"/>
      <c r="DM465" s="469">
        <v>124111.22</v>
      </c>
      <c r="DN465" s="469"/>
      <c r="DO465" s="469"/>
      <c r="DP465" s="469">
        <v>350985.75</v>
      </c>
      <c r="DQ465" s="469"/>
    </row>
    <row r="466" spans="1:121" x14ac:dyDescent="0.2">
      <c r="A466" s="855"/>
      <c r="B466" s="855"/>
      <c r="C466" s="855"/>
      <c r="D466" s="1" t="s">
        <v>1922</v>
      </c>
      <c r="E466" s="855"/>
      <c r="F466" s="1"/>
      <c r="G466" s="1"/>
      <c r="H466" s="1"/>
      <c r="I466" s="1"/>
      <c r="J466" s="1"/>
      <c r="K466" s="1"/>
      <c r="L466" s="116"/>
      <c r="M466" s="116"/>
      <c r="N466" s="116"/>
      <c r="O466" s="116"/>
      <c r="P466" s="375"/>
      <c r="Q466" s="116"/>
      <c r="R466" s="116"/>
      <c r="S466" s="116"/>
      <c r="T466" s="116"/>
      <c r="U466" s="116"/>
      <c r="V466" s="116"/>
      <c r="W466" s="116"/>
      <c r="X466" s="116"/>
      <c r="Y466" s="116"/>
      <c r="Z466" s="116"/>
      <c r="AA466" s="116"/>
      <c r="AB466" s="116"/>
      <c r="AC466" s="116"/>
      <c r="AD466" s="116"/>
      <c r="AE466" s="116"/>
      <c r="AF466" s="116"/>
      <c r="AG466" s="116"/>
      <c r="AH466" s="1"/>
      <c r="AI466" s="46"/>
      <c r="AJ466" s="46"/>
      <c r="AK466" s="46"/>
      <c r="AL466" s="46"/>
      <c r="AM466" s="46"/>
      <c r="AN466" s="46"/>
      <c r="AO466" s="46"/>
      <c r="AP466" s="46"/>
      <c r="AQ466" s="1"/>
      <c r="AR466" s="15"/>
      <c r="AS466" s="15"/>
      <c r="AT466" s="15"/>
      <c r="AU466" s="15"/>
      <c r="AV466" s="15"/>
      <c r="AW466" s="15"/>
      <c r="AX466" s="15"/>
      <c r="AY466" s="15"/>
      <c r="AZ466" s="15"/>
      <c r="BA466" s="15"/>
      <c r="BB466" s="15"/>
      <c r="BC466" s="15"/>
      <c r="BD466" s="102"/>
      <c r="BE466" s="15"/>
      <c r="BF466" s="15"/>
      <c r="BG466" s="15"/>
      <c r="BH466" s="15"/>
      <c r="BI466" s="15"/>
      <c r="BJ466" s="15"/>
      <c r="BK466" s="15"/>
      <c r="BL466" s="15"/>
      <c r="BM466" s="15"/>
      <c r="BN466" s="15"/>
      <c r="BO466" s="15"/>
      <c r="BP466" s="15"/>
      <c r="BQ466" s="242"/>
      <c r="BR466" s="15"/>
      <c r="BS466" s="15"/>
      <c r="BT466" s="15"/>
      <c r="BU466" s="15"/>
      <c r="BV466" s="15"/>
      <c r="BW466" s="15"/>
      <c r="BX466" s="15"/>
      <c r="BY466" s="15"/>
      <c r="BZ466" s="15"/>
      <c r="CA466" s="15"/>
      <c r="CB466" s="15"/>
      <c r="CC466" s="15"/>
      <c r="CD466" s="15"/>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row>
    <row r="467" spans="1:121" x14ac:dyDescent="0.2">
      <c r="A467" s="855"/>
      <c r="B467" s="855"/>
      <c r="C467" s="855"/>
      <c r="D467" s="1" t="s">
        <v>1923</v>
      </c>
      <c r="E467" s="855"/>
      <c r="F467" s="1"/>
      <c r="G467" s="1"/>
      <c r="H467" s="1"/>
      <c r="I467" s="1"/>
      <c r="J467" s="1"/>
      <c r="K467" s="1"/>
      <c r="L467" s="116"/>
      <c r="M467" s="116"/>
      <c r="N467" s="116"/>
      <c r="O467" s="116"/>
      <c r="P467" s="375"/>
      <c r="Q467" s="116"/>
      <c r="R467" s="116"/>
      <c r="S467" s="116"/>
      <c r="T467" s="116"/>
      <c r="U467" s="116"/>
      <c r="V467" s="116"/>
      <c r="W467" s="116"/>
      <c r="X467" s="116"/>
      <c r="Y467" s="116"/>
      <c r="Z467" s="116"/>
      <c r="AA467" s="116"/>
      <c r="AB467" s="116"/>
      <c r="AC467" s="116"/>
      <c r="AD467" s="116"/>
      <c r="AE467" s="116"/>
      <c r="AF467" s="116"/>
      <c r="AG467" s="116"/>
      <c r="AH467" s="1"/>
      <c r="AI467" s="46"/>
      <c r="AJ467" s="46"/>
      <c r="AK467" s="46"/>
      <c r="AL467" s="46"/>
      <c r="AM467" s="46"/>
      <c r="AN467" s="46"/>
      <c r="AO467" s="46"/>
      <c r="AP467" s="46"/>
      <c r="AQ467" s="1"/>
      <c r="AR467" s="15"/>
      <c r="AS467" s="15"/>
      <c r="AT467" s="15"/>
      <c r="AU467" s="15"/>
      <c r="AV467" s="15"/>
      <c r="AW467" s="15"/>
      <c r="AX467" s="15"/>
      <c r="AY467" s="15"/>
      <c r="AZ467" s="15"/>
      <c r="BA467" s="15"/>
      <c r="BB467" s="15"/>
      <c r="BC467" s="15"/>
      <c r="BD467" s="102"/>
      <c r="BE467" s="15"/>
      <c r="BF467" s="15"/>
      <c r="BG467" s="15"/>
      <c r="BH467" s="15"/>
      <c r="BI467" s="15"/>
      <c r="BJ467" s="15"/>
      <c r="BK467" s="15"/>
      <c r="BL467" s="15"/>
      <c r="BM467" s="15"/>
      <c r="BN467" s="15"/>
      <c r="BO467" s="15"/>
      <c r="BP467" s="15"/>
      <c r="BQ467" s="242"/>
      <c r="BR467" s="15"/>
      <c r="BS467" s="15"/>
      <c r="BT467" s="15"/>
      <c r="BU467" s="15"/>
      <c r="BV467" s="15"/>
      <c r="BW467" s="15"/>
      <c r="BX467" s="15"/>
      <c r="BY467" s="15"/>
      <c r="BZ467" s="15"/>
      <c r="CA467" s="15"/>
      <c r="CB467" s="15"/>
      <c r="CC467" s="15"/>
      <c r="CD467" s="15"/>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row>
    <row r="468" spans="1:121" x14ac:dyDescent="0.2">
      <c r="A468" s="855"/>
      <c r="B468" s="855"/>
      <c r="C468" s="855"/>
      <c r="D468" s="1" t="s">
        <v>1924</v>
      </c>
      <c r="E468" s="855"/>
      <c r="F468" s="1"/>
      <c r="G468" s="1"/>
      <c r="H468" s="1"/>
      <c r="I468" s="1"/>
      <c r="J468" s="1"/>
      <c r="K468" s="1"/>
      <c r="L468" s="116"/>
      <c r="M468" s="116"/>
      <c r="N468" s="116"/>
      <c r="O468" s="116"/>
      <c r="P468" s="375"/>
      <c r="Q468" s="116"/>
      <c r="R468" s="116"/>
      <c r="S468" s="116"/>
      <c r="T468" s="116"/>
      <c r="U468" s="116"/>
      <c r="V468" s="116"/>
      <c r="W468" s="116"/>
      <c r="X468" s="116"/>
      <c r="Y468" s="116"/>
      <c r="Z468" s="116"/>
      <c r="AA468" s="116"/>
      <c r="AB468" s="116"/>
      <c r="AC468" s="116"/>
      <c r="AD468" s="116"/>
      <c r="AE468" s="116"/>
      <c r="AF468" s="116"/>
      <c r="AG468" s="116"/>
      <c r="AH468" s="1"/>
      <c r="AI468" s="46"/>
      <c r="AJ468" s="46"/>
      <c r="AK468" s="46"/>
      <c r="AL468" s="46"/>
      <c r="AM468" s="46"/>
      <c r="AN468" s="46"/>
      <c r="AO468" s="46"/>
      <c r="AP468" s="46"/>
      <c r="AQ468" s="1"/>
      <c r="AR468" s="15"/>
      <c r="AS468" s="15"/>
      <c r="AT468" s="15"/>
      <c r="AU468" s="15"/>
      <c r="AV468" s="15"/>
      <c r="AW468" s="15"/>
      <c r="AX468" s="15"/>
      <c r="AY468" s="15"/>
      <c r="AZ468" s="15"/>
      <c r="BA468" s="15"/>
      <c r="BB468" s="15"/>
      <c r="BC468" s="15"/>
      <c r="BD468" s="102"/>
      <c r="BE468" s="15"/>
      <c r="BF468" s="15"/>
      <c r="BG468" s="15"/>
      <c r="BH468" s="15"/>
      <c r="BI468" s="15"/>
      <c r="BJ468" s="15"/>
      <c r="BK468" s="15"/>
      <c r="BL468" s="15"/>
      <c r="BM468" s="15"/>
      <c r="BN468" s="15"/>
      <c r="BO468" s="15"/>
      <c r="BP468" s="15"/>
      <c r="BQ468" s="242"/>
      <c r="BR468" s="15"/>
      <c r="BS468" s="15"/>
      <c r="BT468" s="15"/>
      <c r="BU468" s="15"/>
      <c r="BV468" s="15"/>
      <c r="BW468" s="15"/>
      <c r="BX468" s="15"/>
      <c r="BY468" s="15"/>
      <c r="BZ468" s="15"/>
      <c r="CA468" s="15"/>
      <c r="CB468" s="15"/>
      <c r="CC468" s="15"/>
      <c r="CD468" s="15"/>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row>
    <row r="469" spans="1:121" x14ac:dyDescent="0.2">
      <c r="A469" s="855"/>
      <c r="B469" s="855"/>
      <c r="C469" s="855"/>
      <c r="D469" s="1" t="s">
        <v>1925</v>
      </c>
      <c r="E469" s="855"/>
      <c r="F469" s="1"/>
      <c r="G469" s="1"/>
      <c r="H469" s="1"/>
      <c r="I469" s="1"/>
      <c r="J469" s="1"/>
      <c r="K469" s="1"/>
      <c r="L469" s="116"/>
      <c r="M469" s="116"/>
      <c r="N469" s="116"/>
      <c r="O469" s="116"/>
      <c r="P469" s="375"/>
      <c r="Q469" s="116"/>
      <c r="R469" s="116"/>
      <c r="S469" s="116"/>
      <c r="T469" s="116"/>
      <c r="U469" s="116"/>
      <c r="V469" s="116"/>
      <c r="W469" s="116"/>
      <c r="X469" s="116"/>
      <c r="Y469" s="116"/>
      <c r="Z469" s="116"/>
      <c r="AA469" s="116"/>
      <c r="AB469" s="116"/>
      <c r="AC469" s="116"/>
      <c r="AD469" s="116"/>
      <c r="AE469" s="116"/>
      <c r="AF469" s="116"/>
      <c r="AG469" s="116"/>
      <c r="AH469" s="1"/>
      <c r="AI469" s="46"/>
      <c r="AJ469" s="46"/>
      <c r="AK469" s="46"/>
      <c r="AL469" s="46"/>
      <c r="AM469" s="46"/>
      <c r="AN469" s="46"/>
      <c r="AO469" s="46"/>
      <c r="AP469" s="46"/>
      <c r="AQ469" s="1"/>
      <c r="AR469" s="15"/>
      <c r="AS469" s="15"/>
      <c r="AT469" s="15"/>
      <c r="AU469" s="15"/>
      <c r="AV469" s="15"/>
      <c r="AW469" s="15"/>
      <c r="AX469" s="15"/>
      <c r="AY469" s="15"/>
      <c r="AZ469" s="15"/>
      <c r="BA469" s="15"/>
      <c r="BB469" s="15"/>
      <c r="BC469" s="15"/>
      <c r="BD469" s="102"/>
      <c r="BE469" s="15"/>
      <c r="BF469" s="15"/>
      <c r="BG469" s="15"/>
      <c r="BH469" s="15"/>
      <c r="BI469" s="15"/>
      <c r="BJ469" s="15"/>
      <c r="BK469" s="15"/>
      <c r="BL469" s="15"/>
      <c r="BM469" s="15"/>
      <c r="BN469" s="15"/>
      <c r="BO469" s="15"/>
      <c r="BP469" s="15"/>
      <c r="BQ469" s="242"/>
      <c r="BR469" s="15"/>
      <c r="BS469" s="15"/>
      <c r="BT469" s="15"/>
      <c r="BU469" s="15"/>
      <c r="BV469" s="15"/>
      <c r="BW469" s="15"/>
      <c r="BX469" s="15"/>
      <c r="BY469" s="15"/>
      <c r="BZ469" s="15"/>
      <c r="CA469" s="15"/>
      <c r="CB469" s="15"/>
      <c r="CC469" s="15"/>
      <c r="CD469" s="15"/>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row>
    <row r="470" spans="1:121" x14ac:dyDescent="0.2">
      <c r="A470" s="855"/>
      <c r="B470" s="855"/>
      <c r="C470" s="855"/>
      <c r="D470" s="1" t="s">
        <v>1926</v>
      </c>
      <c r="E470" s="855"/>
      <c r="F470" s="1"/>
      <c r="G470" s="1"/>
      <c r="H470" s="1"/>
      <c r="I470" s="1"/>
      <c r="J470" s="1"/>
      <c r="K470" s="1"/>
      <c r="L470" s="116"/>
      <c r="M470" s="116"/>
      <c r="N470" s="116"/>
      <c r="O470" s="116"/>
      <c r="P470" s="375"/>
      <c r="Q470" s="116"/>
      <c r="R470" s="116"/>
      <c r="S470" s="116"/>
      <c r="T470" s="116"/>
      <c r="U470" s="116"/>
      <c r="V470" s="116"/>
      <c r="W470" s="116"/>
      <c r="X470" s="116"/>
      <c r="Y470" s="116"/>
      <c r="Z470" s="116"/>
      <c r="AA470" s="116"/>
      <c r="AB470" s="116"/>
      <c r="AC470" s="116"/>
      <c r="AD470" s="116"/>
      <c r="AE470" s="116"/>
      <c r="AF470" s="116"/>
      <c r="AG470" s="116"/>
      <c r="AH470" s="1"/>
      <c r="AI470" s="46"/>
      <c r="AJ470" s="46"/>
      <c r="AK470" s="46"/>
      <c r="AL470" s="46"/>
      <c r="AM470" s="46"/>
      <c r="AN470" s="46"/>
      <c r="AO470" s="46"/>
      <c r="AP470" s="46"/>
      <c r="AQ470" s="1"/>
      <c r="AR470" s="15"/>
      <c r="AS470" s="15"/>
      <c r="AT470" s="15"/>
      <c r="AU470" s="15"/>
      <c r="AV470" s="15"/>
      <c r="AW470" s="15"/>
      <c r="AX470" s="15"/>
      <c r="AY470" s="15"/>
      <c r="AZ470" s="15"/>
      <c r="BA470" s="15"/>
      <c r="BB470" s="15"/>
      <c r="BC470" s="15"/>
      <c r="BD470" s="102"/>
      <c r="BE470" s="15"/>
      <c r="BF470" s="15"/>
      <c r="BG470" s="15"/>
      <c r="BH470" s="15"/>
      <c r="BI470" s="15"/>
      <c r="BJ470" s="15"/>
      <c r="BK470" s="15"/>
      <c r="BL470" s="15"/>
      <c r="BM470" s="15"/>
      <c r="BN470" s="15"/>
      <c r="BO470" s="15"/>
      <c r="BP470" s="15"/>
      <c r="BQ470" s="242"/>
      <c r="BR470" s="15"/>
      <c r="BS470" s="15"/>
      <c r="BT470" s="15"/>
      <c r="BU470" s="15"/>
      <c r="BV470" s="15"/>
      <c r="BW470" s="15"/>
      <c r="BX470" s="15"/>
      <c r="BY470" s="15"/>
      <c r="BZ470" s="15"/>
      <c r="CA470" s="15"/>
      <c r="CB470" s="15"/>
      <c r="CC470" s="15"/>
      <c r="CD470" s="15"/>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row>
    <row r="471" spans="1:121" x14ac:dyDescent="0.2">
      <c r="A471" s="855"/>
      <c r="B471" s="855"/>
      <c r="C471" s="855"/>
      <c r="D471" s="1" t="s">
        <v>1927</v>
      </c>
      <c r="E471" s="855"/>
      <c r="F471" s="1"/>
      <c r="G471" s="1"/>
      <c r="H471" s="1"/>
      <c r="I471" s="1"/>
      <c r="J471" s="1"/>
      <c r="K471" s="1"/>
      <c r="L471" s="116"/>
      <c r="M471" s="116"/>
      <c r="N471" s="116"/>
      <c r="O471" s="116"/>
      <c r="P471" s="375"/>
      <c r="Q471" s="116"/>
      <c r="R471" s="116"/>
      <c r="S471" s="116"/>
      <c r="T471" s="116"/>
      <c r="U471" s="116"/>
      <c r="V471" s="116"/>
      <c r="W471" s="116"/>
      <c r="X471" s="116"/>
      <c r="Y471" s="116"/>
      <c r="Z471" s="116"/>
      <c r="AA471" s="116"/>
      <c r="AB471" s="116"/>
      <c r="AC471" s="116"/>
      <c r="AD471" s="116"/>
      <c r="AE471" s="116"/>
      <c r="AF471" s="116"/>
      <c r="AG471" s="116"/>
      <c r="AH471" s="1"/>
      <c r="AI471" s="46"/>
      <c r="AJ471" s="46"/>
      <c r="AK471" s="46"/>
      <c r="AL471" s="46"/>
      <c r="AM471" s="46"/>
      <c r="AN471" s="46"/>
      <c r="AO471" s="46"/>
      <c r="AP471" s="46"/>
      <c r="AQ471" s="1"/>
      <c r="AR471" s="15"/>
      <c r="AS471" s="15"/>
      <c r="AT471" s="15"/>
      <c r="AU471" s="15"/>
      <c r="AV471" s="15"/>
      <c r="AW471" s="15"/>
      <c r="AX471" s="15"/>
      <c r="AY471" s="15"/>
      <c r="AZ471" s="15"/>
      <c r="BA471" s="15"/>
      <c r="BB471" s="15"/>
      <c r="BC471" s="15"/>
      <c r="BD471" s="102"/>
      <c r="BE471" s="15"/>
      <c r="BF471" s="15"/>
      <c r="BG471" s="15"/>
      <c r="BH471" s="15"/>
      <c r="BI471" s="15"/>
      <c r="BJ471" s="15"/>
      <c r="BK471" s="15"/>
      <c r="BL471" s="15"/>
      <c r="BM471" s="15"/>
      <c r="BN471" s="15"/>
      <c r="BO471" s="15"/>
      <c r="BP471" s="15"/>
      <c r="BQ471" s="242"/>
      <c r="BR471" s="15"/>
      <c r="BS471" s="15"/>
      <c r="BT471" s="15"/>
      <c r="BU471" s="15"/>
      <c r="BV471" s="15"/>
      <c r="BW471" s="15"/>
      <c r="BX471" s="15"/>
      <c r="BY471" s="15"/>
      <c r="BZ471" s="15"/>
      <c r="CA471" s="15"/>
      <c r="CB471" s="15"/>
      <c r="CC471" s="15"/>
      <c r="CD471" s="15"/>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row>
    <row r="472" spans="1:121" x14ac:dyDescent="0.2">
      <c r="A472" s="855"/>
      <c r="B472" s="855"/>
      <c r="C472" s="855"/>
      <c r="D472" s="1" t="s">
        <v>1928</v>
      </c>
      <c r="E472" s="855"/>
      <c r="F472" s="1"/>
      <c r="G472" s="1"/>
      <c r="H472" s="1"/>
      <c r="I472" s="1"/>
      <c r="J472" s="1"/>
      <c r="K472" s="1"/>
      <c r="L472" s="116"/>
      <c r="M472" s="116"/>
      <c r="N472" s="116"/>
      <c r="O472" s="116"/>
      <c r="P472" s="375"/>
      <c r="Q472" s="116"/>
      <c r="R472" s="116"/>
      <c r="S472" s="116"/>
      <c r="T472" s="116"/>
      <c r="U472" s="116"/>
      <c r="V472" s="116"/>
      <c r="W472" s="116"/>
      <c r="X472" s="116"/>
      <c r="Y472" s="116"/>
      <c r="Z472" s="116"/>
      <c r="AA472" s="116"/>
      <c r="AB472" s="116"/>
      <c r="AC472" s="116"/>
      <c r="AD472" s="116"/>
      <c r="AE472" s="116"/>
      <c r="AF472" s="116"/>
      <c r="AG472" s="116"/>
      <c r="AH472" s="1"/>
      <c r="AI472" s="46"/>
      <c r="AJ472" s="46"/>
      <c r="AK472" s="46"/>
      <c r="AL472" s="46"/>
      <c r="AM472" s="46"/>
      <c r="AN472" s="46"/>
      <c r="AO472" s="46"/>
      <c r="AP472" s="46"/>
      <c r="AQ472" s="1"/>
      <c r="AR472" s="15"/>
      <c r="AS472" s="15"/>
      <c r="AT472" s="15"/>
      <c r="AU472" s="15"/>
      <c r="AV472" s="15"/>
      <c r="AW472" s="15"/>
      <c r="AX472" s="15"/>
      <c r="AY472" s="15"/>
      <c r="AZ472" s="15"/>
      <c r="BA472" s="15"/>
      <c r="BB472" s="15"/>
      <c r="BC472" s="15"/>
      <c r="BD472" s="102"/>
      <c r="BE472" s="15"/>
      <c r="BF472" s="15"/>
      <c r="BG472" s="15"/>
      <c r="BH472" s="15"/>
      <c r="BI472" s="15"/>
      <c r="BJ472" s="15"/>
      <c r="BK472" s="15"/>
      <c r="BL472" s="15"/>
      <c r="BM472" s="15"/>
      <c r="BN472" s="15"/>
      <c r="BO472" s="15"/>
      <c r="BP472" s="15"/>
      <c r="BQ472" s="242"/>
      <c r="BR472" s="15"/>
      <c r="BS472" s="15"/>
      <c r="BT472" s="15"/>
      <c r="BU472" s="15"/>
      <c r="BV472" s="15"/>
      <c r="BW472" s="15"/>
      <c r="BX472" s="15"/>
      <c r="BY472" s="15"/>
      <c r="BZ472" s="15"/>
      <c r="CA472" s="15"/>
      <c r="CB472" s="15"/>
      <c r="CC472" s="15"/>
      <c r="CD472" s="15"/>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row>
    <row r="473" spans="1:121" x14ac:dyDescent="0.2">
      <c r="A473" s="855"/>
      <c r="B473" s="855"/>
      <c r="C473" s="855"/>
      <c r="D473" s="1" t="s">
        <v>1929</v>
      </c>
      <c r="E473" s="855"/>
      <c r="F473" s="1"/>
      <c r="G473" s="1"/>
      <c r="H473" s="1"/>
      <c r="I473" s="1"/>
      <c r="J473" s="1"/>
      <c r="K473" s="1"/>
      <c r="L473" s="116"/>
      <c r="M473" s="116"/>
      <c r="N473" s="116"/>
      <c r="O473" s="116"/>
      <c r="P473" s="375"/>
      <c r="Q473" s="116"/>
      <c r="R473" s="116"/>
      <c r="S473" s="116"/>
      <c r="T473" s="116"/>
      <c r="U473" s="116"/>
      <c r="V473" s="116"/>
      <c r="W473" s="116"/>
      <c r="X473" s="116"/>
      <c r="Y473" s="116"/>
      <c r="Z473" s="116"/>
      <c r="AA473" s="116"/>
      <c r="AB473" s="116"/>
      <c r="AC473" s="116"/>
      <c r="AD473" s="116"/>
      <c r="AE473" s="116"/>
      <c r="AF473" s="116"/>
      <c r="AG473" s="116"/>
      <c r="AH473" s="1"/>
      <c r="AI473" s="46"/>
      <c r="AJ473" s="46"/>
      <c r="AK473" s="46"/>
      <c r="AL473" s="46"/>
      <c r="AM473" s="46"/>
      <c r="AN473" s="46"/>
      <c r="AO473" s="46"/>
      <c r="AP473" s="46"/>
      <c r="AQ473" s="1"/>
      <c r="AR473" s="15"/>
      <c r="AS473" s="15"/>
      <c r="AT473" s="15"/>
      <c r="AU473" s="15"/>
      <c r="AV473" s="15"/>
      <c r="AW473" s="15"/>
      <c r="AX473" s="15"/>
      <c r="AY473" s="15"/>
      <c r="AZ473" s="15"/>
      <c r="BA473" s="15"/>
      <c r="BB473" s="15"/>
      <c r="BC473" s="15"/>
      <c r="BD473" s="102"/>
      <c r="BE473" s="15"/>
      <c r="BF473" s="15"/>
      <c r="BG473" s="15"/>
      <c r="BH473" s="15"/>
      <c r="BI473" s="15"/>
      <c r="BJ473" s="15"/>
      <c r="BK473" s="15"/>
      <c r="BL473" s="15"/>
      <c r="BM473" s="15"/>
      <c r="BN473" s="15"/>
      <c r="BO473" s="15"/>
      <c r="BP473" s="15"/>
      <c r="BQ473" s="242"/>
      <c r="BR473" s="15"/>
      <c r="BS473" s="15"/>
      <c r="BT473" s="15"/>
      <c r="BU473" s="15"/>
      <c r="BV473" s="15"/>
      <c r="BW473" s="15"/>
      <c r="BX473" s="15"/>
      <c r="BY473" s="15"/>
      <c r="BZ473" s="15"/>
      <c r="CA473" s="15"/>
      <c r="CB473" s="15"/>
      <c r="CC473" s="15"/>
      <c r="CD473" s="15"/>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row>
    <row r="474" spans="1:121" x14ac:dyDescent="0.2">
      <c r="A474" s="856"/>
      <c r="B474" s="856"/>
      <c r="C474" s="856"/>
      <c r="D474" s="1" t="s">
        <v>1930</v>
      </c>
      <c r="E474" s="856"/>
      <c r="F474" s="1"/>
      <c r="G474" s="1"/>
      <c r="H474" s="1"/>
      <c r="I474" s="1"/>
      <c r="J474" s="1"/>
      <c r="K474" s="1"/>
      <c r="L474" s="116"/>
      <c r="M474" s="116"/>
      <c r="N474" s="116"/>
      <c r="O474" s="116"/>
      <c r="P474" s="375"/>
      <c r="Q474" s="116"/>
      <c r="R474" s="116"/>
      <c r="S474" s="116"/>
      <c r="T474" s="116"/>
      <c r="U474" s="116"/>
      <c r="V474" s="116"/>
      <c r="W474" s="116"/>
      <c r="X474" s="116"/>
      <c r="Y474" s="116"/>
      <c r="Z474" s="116"/>
      <c r="AA474" s="116"/>
      <c r="AB474" s="116"/>
      <c r="AC474" s="116"/>
      <c r="AD474" s="116"/>
      <c r="AE474" s="116"/>
      <c r="AF474" s="116"/>
      <c r="AG474" s="116"/>
      <c r="AH474" s="1"/>
      <c r="AI474" s="46"/>
      <c r="AJ474" s="46"/>
      <c r="AK474" s="46"/>
      <c r="AL474" s="46"/>
      <c r="AM474" s="46"/>
      <c r="AN474" s="46"/>
      <c r="AO474" s="46"/>
      <c r="AP474" s="46"/>
      <c r="AQ474" s="1"/>
      <c r="AR474" s="15"/>
      <c r="AS474" s="15"/>
      <c r="AT474" s="15"/>
      <c r="AU474" s="15"/>
      <c r="AV474" s="15"/>
      <c r="AW474" s="15"/>
      <c r="AX474" s="15"/>
      <c r="AY474" s="15"/>
      <c r="AZ474" s="15"/>
      <c r="BA474" s="15"/>
      <c r="BB474" s="15"/>
      <c r="BC474" s="15"/>
      <c r="BD474" s="102"/>
      <c r="BE474" s="15"/>
      <c r="BF474" s="15"/>
      <c r="BG474" s="15"/>
      <c r="BH474" s="15"/>
      <c r="BI474" s="15"/>
      <c r="BJ474" s="15"/>
      <c r="BK474" s="15"/>
      <c r="BL474" s="15"/>
      <c r="BM474" s="15"/>
      <c r="BN474" s="15"/>
      <c r="BO474" s="15"/>
      <c r="BP474" s="15"/>
      <c r="BQ474" s="242"/>
      <c r="BR474" s="15"/>
      <c r="BS474" s="15"/>
      <c r="BT474" s="15"/>
      <c r="BU474" s="15"/>
      <c r="BV474" s="15"/>
      <c r="BW474" s="15"/>
      <c r="BX474" s="15"/>
      <c r="BY474" s="15"/>
      <c r="BZ474" s="15"/>
      <c r="CA474" s="15"/>
      <c r="CB474" s="15"/>
      <c r="CC474" s="15"/>
      <c r="CD474" s="15"/>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row>
    <row r="475" spans="1:121" x14ac:dyDescent="0.2">
      <c r="A475" s="854"/>
      <c r="B475" s="854"/>
      <c r="C475" s="854" t="s">
        <v>1978</v>
      </c>
      <c r="D475" s="1" t="s">
        <v>461</v>
      </c>
      <c r="E475" s="854"/>
      <c r="F475" s="1"/>
      <c r="G475" s="1"/>
      <c r="H475" s="1"/>
      <c r="I475" s="1"/>
      <c r="J475" s="1"/>
      <c r="K475" s="1"/>
      <c r="L475" s="116"/>
      <c r="M475" s="116"/>
      <c r="N475" s="116"/>
      <c r="O475" s="116"/>
      <c r="P475" s="375"/>
      <c r="Q475" s="116"/>
      <c r="R475" s="116"/>
      <c r="S475" s="116"/>
      <c r="T475" s="116"/>
      <c r="U475" s="116"/>
      <c r="V475" s="116"/>
      <c r="W475" s="116"/>
      <c r="X475" s="116"/>
      <c r="Y475" s="116"/>
      <c r="Z475" s="116"/>
      <c r="AA475" s="116"/>
      <c r="AB475" s="116"/>
      <c r="AC475" s="116"/>
      <c r="AD475" s="116"/>
      <c r="AE475" s="116"/>
      <c r="AF475" s="116"/>
      <c r="AG475" s="116"/>
      <c r="AH475" s="1"/>
      <c r="AI475" s="46"/>
      <c r="AJ475" s="46"/>
      <c r="AK475" s="46"/>
      <c r="AL475" s="46"/>
      <c r="AM475" s="46"/>
      <c r="AN475" s="46"/>
      <c r="AO475" s="46"/>
      <c r="AP475" s="46"/>
      <c r="AQ475" s="1"/>
      <c r="AR475" s="15"/>
      <c r="AS475" s="15"/>
      <c r="AT475" s="15"/>
      <c r="AU475" s="15"/>
      <c r="AV475" s="15"/>
      <c r="AW475" s="15"/>
      <c r="AX475" s="15"/>
      <c r="AY475" s="15"/>
      <c r="AZ475" s="15"/>
      <c r="BA475" s="15"/>
      <c r="BB475" s="15"/>
      <c r="BC475" s="15"/>
      <c r="BD475" s="102"/>
      <c r="BE475" s="15"/>
      <c r="BF475" s="15"/>
      <c r="BG475" s="15"/>
      <c r="BH475" s="15"/>
      <c r="BI475" s="15"/>
      <c r="BJ475" s="15"/>
      <c r="BK475" s="15"/>
      <c r="BL475" s="15"/>
      <c r="BM475" s="15"/>
      <c r="BN475" s="15"/>
      <c r="BO475" s="15"/>
      <c r="BP475" s="15"/>
      <c r="BQ475" s="242"/>
      <c r="BR475" s="15"/>
      <c r="BS475" s="15"/>
      <c r="BT475" s="15"/>
      <c r="BU475" s="15"/>
      <c r="BV475" s="15"/>
      <c r="BW475" s="15"/>
      <c r="BX475" s="15"/>
      <c r="BY475" s="15"/>
      <c r="BZ475" s="15"/>
      <c r="CA475" s="15"/>
      <c r="CB475" s="15"/>
      <c r="CC475" s="15"/>
      <c r="CD475" s="15"/>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row>
    <row r="476" spans="1:121" x14ac:dyDescent="0.2">
      <c r="A476" s="855"/>
      <c r="B476" s="855"/>
      <c r="C476" s="855"/>
      <c r="D476" s="1" t="s">
        <v>1931</v>
      </c>
      <c r="E476" s="855"/>
      <c r="F476" s="1"/>
      <c r="G476" s="1"/>
      <c r="H476" s="1"/>
      <c r="I476" s="1"/>
      <c r="J476" s="1"/>
      <c r="K476" s="1"/>
      <c r="L476" s="116"/>
      <c r="M476" s="116"/>
      <c r="N476" s="116"/>
      <c r="O476" s="116"/>
      <c r="P476" s="375"/>
      <c r="Q476" s="116"/>
      <c r="R476" s="116"/>
      <c r="S476" s="116"/>
      <c r="T476" s="116"/>
      <c r="U476" s="116"/>
      <c r="V476" s="116"/>
      <c r="W476" s="116"/>
      <c r="X476" s="116"/>
      <c r="Y476" s="116"/>
      <c r="Z476" s="116"/>
      <c r="AA476" s="116"/>
      <c r="AB476" s="116"/>
      <c r="AC476" s="116"/>
      <c r="AD476" s="116"/>
      <c r="AE476" s="116"/>
      <c r="AF476" s="116"/>
      <c r="AG476" s="116"/>
      <c r="AH476" s="1"/>
      <c r="AI476" s="46"/>
      <c r="AJ476" s="46"/>
      <c r="AK476" s="46"/>
      <c r="AL476" s="46"/>
      <c r="AM476" s="46"/>
      <c r="AN476" s="46"/>
      <c r="AO476" s="46"/>
      <c r="AP476" s="46"/>
      <c r="AQ476" s="1"/>
      <c r="AR476" s="15"/>
      <c r="AS476" s="15"/>
      <c r="AT476" s="15"/>
      <c r="AU476" s="15"/>
      <c r="AV476" s="15"/>
      <c r="AW476" s="15"/>
      <c r="AX476" s="15"/>
      <c r="AY476" s="15"/>
      <c r="AZ476" s="15"/>
      <c r="BA476" s="15"/>
      <c r="BB476" s="15"/>
      <c r="BC476" s="15"/>
      <c r="BD476" s="102"/>
      <c r="BE476" s="15"/>
      <c r="BF476" s="15"/>
      <c r="BG476" s="15"/>
      <c r="BH476" s="15"/>
      <c r="BI476" s="15"/>
      <c r="BJ476" s="15"/>
      <c r="BK476" s="15"/>
      <c r="BL476" s="15"/>
      <c r="BM476" s="15"/>
      <c r="BN476" s="15"/>
      <c r="BO476" s="15"/>
      <c r="BP476" s="15"/>
      <c r="BQ476" s="242"/>
      <c r="BR476" s="15"/>
      <c r="BS476" s="15"/>
      <c r="BT476" s="15"/>
      <c r="BU476" s="15"/>
      <c r="BV476" s="15"/>
      <c r="BW476" s="15"/>
      <c r="BX476" s="15"/>
      <c r="BY476" s="15"/>
      <c r="BZ476" s="15"/>
      <c r="CA476" s="15"/>
      <c r="CB476" s="15"/>
      <c r="CC476" s="15"/>
      <c r="CD476" s="15"/>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row>
    <row r="477" spans="1:121" x14ac:dyDescent="0.2">
      <c r="A477" s="855"/>
      <c r="B477" s="855"/>
      <c r="C477" s="855"/>
      <c r="D477" s="1" t="s">
        <v>1932</v>
      </c>
      <c r="E477" s="855"/>
      <c r="F477" s="1"/>
      <c r="G477" s="1"/>
      <c r="H477" s="1"/>
      <c r="I477" s="1"/>
      <c r="J477" s="1"/>
      <c r="K477" s="1"/>
      <c r="L477" s="116"/>
      <c r="M477" s="116"/>
      <c r="N477" s="116"/>
      <c r="O477" s="116"/>
      <c r="P477" s="375"/>
      <c r="Q477" s="116"/>
      <c r="R477" s="116"/>
      <c r="S477" s="116"/>
      <c r="T477" s="116"/>
      <c r="U477" s="116"/>
      <c r="V477" s="116"/>
      <c r="W477" s="116"/>
      <c r="X477" s="116"/>
      <c r="Y477" s="116"/>
      <c r="Z477" s="116"/>
      <c r="AA477" s="116"/>
      <c r="AB477" s="116"/>
      <c r="AC477" s="116"/>
      <c r="AD477" s="116"/>
      <c r="AE477" s="116"/>
      <c r="AF477" s="116"/>
      <c r="AG477" s="116"/>
      <c r="AH477" s="1"/>
      <c r="AI477" s="46"/>
      <c r="AJ477" s="46"/>
      <c r="AK477" s="46"/>
      <c r="AL477" s="46"/>
      <c r="AM477" s="46"/>
      <c r="AN477" s="46"/>
      <c r="AO477" s="46"/>
      <c r="AP477" s="46"/>
      <c r="AQ477" s="1"/>
      <c r="AR477" s="15"/>
      <c r="AS477" s="15"/>
      <c r="AT477" s="15"/>
      <c r="AU477" s="15"/>
      <c r="AV477" s="15"/>
      <c r="AW477" s="15"/>
      <c r="AX477" s="15"/>
      <c r="AY477" s="15"/>
      <c r="AZ477" s="15"/>
      <c r="BA477" s="15"/>
      <c r="BB477" s="15"/>
      <c r="BC477" s="15"/>
      <c r="BD477" s="102"/>
      <c r="BE477" s="15"/>
      <c r="BF477" s="15"/>
      <c r="BG477" s="15"/>
      <c r="BH477" s="15"/>
      <c r="BI477" s="15"/>
      <c r="BJ477" s="15"/>
      <c r="BK477" s="15"/>
      <c r="BL477" s="15"/>
      <c r="BM477" s="15"/>
      <c r="BN477" s="15"/>
      <c r="BO477" s="15"/>
      <c r="BP477" s="15"/>
      <c r="BQ477" s="242"/>
      <c r="BR477" s="15"/>
      <c r="BS477" s="15"/>
      <c r="BT477" s="15"/>
      <c r="BU477" s="15"/>
      <c r="BV477" s="15"/>
      <c r="BW477" s="15"/>
      <c r="BX477" s="15"/>
      <c r="BY477" s="15"/>
      <c r="BZ477" s="15"/>
      <c r="CA477" s="15"/>
      <c r="CB477" s="15"/>
      <c r="CC477" s="15"/>
      <c r="CD477" s="15"/>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row>
    <row r="478" spans="1:121" x14ac:dyDescent="0.2">
      <c r="A478" s="855"/>
      <c r="B478" s="855"/>
      <c r="C478" s="855"/>
      <c r="D478" s="1" t="s">
        <v>1933</v>
      </c>
      <c r="E478" s="855"/>
      <c r="F478" s="1"/>
      <c r="G478" s="1"/>
      <c r="H478" s="1"/>
      <c r="I478" s="1"/>
      <c r="J478" s="1"/>
      <c r="K478" s="1"/>
      <c r="L478" s="116"/>
      <c r="M478" s="116"/>
      <c r="N478" s="116"/>
      <c r="O478" s="116"/>
      <c r="P478" s="375"/>
      <c r="Q478" s="116"/>
      <c r="R478" s="116"/>
      <c r="S478" s="116"/>
      <c r="T478" s="116"/>
      <c r="U478" s="116"/>
      <c r="V478" s="116"/>
      <c r="W478" s="116"/>
      <c r="X478" s="116"/>
      <c r="Y478" s="116"/>
      <c r="Z478" s="116"/>
      <c r="AA478" s="116"/>
      <c r="AB478" s="116"/>
      <c r="AC478" s="116"/>
      <c r="AD478" s="116"/>
      <c r="AE478" s="116"/>
      <c r="AF478" s="116"/>
      <c r="AG478" s="116"/>
      <c r="AH478" s="1"/>
      <c r="AI478" s="46"/>
      <c r="AJ478" s="46"/>
      <c r="AK478" s="46"/>
      <c r="AL478" s="46"/>
      <c r="AM478" s="46"/>
      <c r="AN478" s="46"/>
      <c r="AO478" s="46"/>
      <c r="AP478" s="46"/>
      <c r="AQ478" s="1"/>
      <c r="AR478" s="15"/>
      <c r="AS478" s="15"/>
      <c r="AT478" s="15"/>
      <c r="AU478" s="15"/>
      <c r="AV478" s="15"/>
      <c r="AW478" s="15"/>
      <c r="AX478" s="15"/>
      <c r="AY478" s="15"/>
      <c r="AZ478" s="15"/>
      <c r="BA478" s="15"/>
      <c r="BB478" s="15"/>
      <c r="BC478" s="15"/>
      <c r="BD478" s="102"/>
      <c r="BE478" s="15"/>
      <c r="BF478" s="15"/>
      <c r="BG478" s="15"/>
      <c r="BH478" s="15"/>
      <c r="BI478" s="15"/>
      <c r="BJ478" s="15"/>
      <c r="BK478" s="15"/>
      <c r="BL478" s="15"/>
      <c r="BM478" s="15"/>
      <c r="BN478" s="15"/>
      <c r="BO478" s="15"/>
      <c r="BP478" s="15"/>
      <c r="BQ478" s="242"/>
      <c r="BR478" s="15"/>
      <c r="BS478" s="15"/>
      <c r="BT478" s="15"/>
      <c r="BU478" s="15"/>
      <c r="BV478" s="15"/>
      <c r="BW478" s="15"/>
      <c r="BX478" s="15"/>
      <c r="BY478" s="15"/>
      <c r="BZ478" s="15"/>
      <c r="CA478" s="15"/>
      <c r="CB478" s="15"/>
      <c r="CC478" s="15"/>
      <c r="CD478" s="15"/>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row>
    <row r="479" spans="1:121" x14ac:dyDescent="0.2">
      <c r="A479" s="855"/>
      <c r="B479" s="855"/>
      <c r="C479" s="855"/>
      <c r="D479" s="1" t="s">
        <v>1934</v>
      </c>
      <c r="E479" s="855"/>
      <c r="F479" s="1"/>
      <c r="G479" s="1"/>
      <c r="H479" s="1"/>
      <c r="I479" s="1"/>
      <c r="J479" s="1"/>
      <c r="K479" s="1"/>
      <c r="L479" s="116"/>
      <c r="M479" s="116"/>
      <c r="N479" s="116"/>
      <c r="O479" s="116"/>
      <c r="P479" s="375"/>
      <c r="Q479" s="116"/>
      <c r="R479" s="116"/>
      <c r="S479" s="116"/>
      <c r="T479" s="116"/>
      <c r="U479" s="116"/>
      <c r="V479" s="116"/>
      <c r="W479" s="116"/>
      <c r="X479" s="116"/>
      <c r="Y479" s="116"/>
      <c r="Z479" s="116"/>
      <c r="AA479" s="116"/>
      <c r="AB479" s="116"/>
      <c r="AC479" s="116"/>
      <c r="AD479" s="116"/>
      <c r="AE479" s="116"/>
      <c r="AF479" s="116"/>
      <c r="AG479" s="116"/>
      <c r="AH479" s="1"/>
      <c r="AI479" s="46"/>
      <c r="AJ479" s="46"/>
      <c r="AK479" s="46"/>
      <c r="AL479" s="46"/>
      <c r="AM479" s="46"/>
      <c r="AN479" s="46"/>
      <c r="AO479" s="46"/>
      <c r="AP479" s="46"/>
      <c r="AQ479" s="1"/>
      <c r="AR479" s="15"/>
      <c r="AS479" s="15"/>
      <c r="AT479" s="15"/>
      <c r="AU479" s="15"/>
      <c r="AV479" s="15"/>
      <c r="AW479" s="15"/>
      <c r="AX479" s="15"/>
      <c r="AY479" s="15"/>
      <c r="AZ479" s="15"/>
      <c r="BA479" s="15"/>
      <c r="BB479" s="15"/>
      <c r="BC479" s="15"/>
      <c r="BD479" s="102"/>
      <c r="BE479" s="15"/>
      <c r="BF479" s="15"/>
      <c r="BG479" s="15"/>
      <c r="BH479" s="15"/>
      <c r="BI479" s="15"/>
      <c r="BJ479" s="15"/>
      <c r="BK479" s="15"/>
      <c r="BL479" s="15"/>
      <c r="BM479" s="15"/>
      <c r="BN479" s="15"/>
      <c r="BO479" s="15"/>
      <c r="BP479" s="15"/>
      <c r="BQ479" s="242"/>
      <c r="BR479" s="15"/>
      <c r="BS479" s="15"/>
      <c r="BT479" s="15"/>
      <c r="BU479" s="15"/>
      <c r="BV479" s="15"/>
      <c r="BW479" s="15"/>
      <c r="BX479" s="15"/>
      <c r="BY479" s="15"/>
      <c r="BZ479" s="15"/>
      <c r="CA479" s="15"/>
      <c r="CB479" s="15"/>
      <c r="CC479" s="15"/>
      <c r="CD479" s="15"/>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row>
    <row r="480" spans="1:121" x14ac:dyDescent="0.2">
      <c r="A480" s="855"/>
      <c r="B480" s="855"/>
      <c r="C480" s="855"/>
      <c r="D480" s="1" t="s">
        <v>1935</v>
      </c>
      <c r="E480" s="855"/>
      <c r="F480" s="1"/>
      <c r="G480" s="1"/>
      <c r="H480" s="1"/>
      <c r="I480" s="1"/>
      <c r="J480" s="1"/>
      <c r="K480" s="1"/>
      <c r="L480" s="116"/>
      <c r="M480" s="116"/>
      <c r="N480" s="116"/>
      <c r="O480" s="116"/>
      <c r="P480" s="375"/>
      <c r="Q480" s="116"/>
      <c r="R480" s="116"/>
      <c r="S480" s="116"/>
      <c r="T480" s="116"/>
      <c r="U480" s="116"/>
      <c r="V480" s="116"/>
      <c r="W480" s="116"/>
      <c r="X480" s="116"/>
      <c r="Y480" s="116"/>
      <c r="Z480" s="116"/>
      <c r="AA480" s="116"/>
      <c r="AB480" s="116"/>
      <c r="AC480" s="116"/>
      <c r="AD480" s="116"/>
      <c r="AE480" s="116"/>
      <c r="AF480" s="116"/>
      <c r="AG480" s="116"/>
      <c r="AH480" s="1"/>
      <c r="AI480" s="46"/>
      <c r="AJ480" s="46"/>
      <c r="AK480" s="46"/>
      <c r="AL480" s="46"/>
      <c r="AM480" s="46"/>
      <c r="AN480" s="46"/>
      <c r="AO480" s="46"/>
      <c r="AP480" s="46"/>
      <c r="AQ480" s="1"/>
      <c r="AR480" s="15"/>
      <c r="AS480" s="15"/>
      <c r="AT480" s="15"/>
      <c r="AU480" s="15"/>
      <c r="AV480" s="15"/>
      <c r="AW480" s="15"/>
      <c r="AX480" s="15"/>
      <c r="AY480" s="15"/>
      <c r="AZ480" s="15"/>
      <c r="BA480" s="15"/>
      <c r="BB480" s="15"/>
      <c r="BC480" s="15"/>
      <c r="BD480" s="102"/>
      <c r="BE480" s="15"/>
      <c r="BF480" s="15"/>
      <c r="BG480" s="15"/>
      <c r="BH480" s="15"/>
      <c r="BI480" s="15"/>
      <c r="BJ480" s="15"/>
      <c r="BK480" s="15"/>
      <c r="BL480" s="15"/>
      <c r="BM480" s="15"/>
      <c r="BN480" s="15"/>
      <c r="BO480" s="15"/>
      <c r="BP480" s="15"/>
      <c r="BQ480" s="242"/>
      <c r="BR480" s="15"/>
      <c r="BS480" s="15"/>
      <c r="BT480" s="15"/>
      <c r="BU480" s="15"/>
      <c r="BV480" s="15"/>
      <c r="BW480" s="15"/>
      <c r="BX480" s="15"/>
      <c r="BY480" s="15"/>
      <c r="BZ480" s="15"/>
      <c r="CA480" s="15"/>
      <c r="CB480" s="15"/>
      <c r="CC480" s="15"/>
      <c r="CD480" s="15"/>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row>
    <row r="481" spans="1:121" s="624" customFormat="1" x14ac:dyDescent="0.2">
      <c r="A481" s="855"/>
      <c r="B481" s="855"/>
      <c r="C481" s="855"/>
      <c r="D481" s="469" t="s">
        <v>1841</v>
      </c>
      <c r="E481" s="855"/>
      <c r="F481" s="469"/>
      <c r="G481" s="469"/>
      <c r="H481" s="469"/>
      <c r="I481" s="469"/>
      <c r="J481" s="469"/>
      <c r="K481" s="469"/>
      <c r="L481" s="626"/>
      <c r="M481" s="626"/>
      <c r="N481" s="626"/>
      <c r="O481" s="626"/>
      <c r="P481" s="627"/>
      <c r="Q481" s="626"/>
      <c r="R481" s="626"/>
      <c r="S481" s="626"/>
      <c r="T481" s="626"/>
      <c r="U481" s="626"/>
      <c r="V481" s="626"/>
      <c r="W481" s="626"/>
      <c r="X481" s="626"/>
      <c r="Y481" s="626"/>
      <c r="Z481" s="626"/>
      <c r="AA481" s="626"/>
      <c r="AB481" s="626"/>
      <c r="AC481" s="626"/>
      <c r="AD481" s="626"/>
      <c r="AE481" s="626"/>
      <c r="AF481" s="626"/>
      <c r="AG481" s="626"/>
      <c r="AH481" s="469"/>
      <c r="AI481" s="617"/>
      <c r="AJ481" s="617"/>
      <c r="AK481" s="617"/>
      <c r="AL481" s="617"/>
      <c r="AM481" s="617"/>
      <c r="AN481" s="617"/>
      <c r="AO481" s="617"/>
      <c r="AP481" s="617"/>
      <c r="AQ481" s="469"/>
      <c r="AR481" s="618"/>
      <c r="AS481" s="618"/>
      <c r="AT481" s="618"/>
      <c r="AU481" s="618"/>
      <c r="AV481" s="618"/>
      <c r="AW481" s="618"/>
      <c r="AX481" s="618"/>
      <c r="AY481" s="618"/>
      <c r="AZ481" s="618"/>
      <c r="BA481" s="618"/>
      <c r="BB481" s="618"/>
      <c r="BC481" s="618"/>
      <c r="BD481" s="620"/>
      <c r="BE481" s="618"/>
      <c r="BF481" s="618"/>
      <c r="BG481" s="618"/>
      <c r="BH481" s="618"/>
      <c r="BI481" s="618"/>
      <c r="BJ481" s="618"/>
      <c r="BK481" s="618"/>
      <c r="BL481" s="618"/>
      <c r="BM481" s="618"/>
      <c r="BN481" s="618"/>
      <c r="BO481" s="618"/>
      <c r="BP481" s="618"/>
      <c r="BQ481" s="634"/>
      <c r="BR481" s="618"/>
      <c r="BS481" s="618"/>
      <c r="BT481" s="618"/>
      <c r="BU481" s="618"/>
      <c r="BV481" s="618"/>
      <c r="BW481" s="618"/>
      <c r="BX481" s="618"/>
      <c r="BY481" s="618"/>
      <c r="BZ481" s="618"/>
      <c r="CA481" s="618"/>
      <c r="CB481" s="618"/>
      <c r="CC481" s="618"/>
      <c r="CD481" s="618"/>
      <c r="CE481" s="469"/>
      <c r="CF481" s="469"/>
      <c r="CG481" s="469"/>
      <c r="CH481" s="469"/>
      <c r="CI481" s="469"/>
      <c r="CJ481" s="469"/>
      <c r="CK481" s="469"/>
      <c r="CL481" s="469"/>
      <c r="CM481" s="469"/>
      <c r="CN481" s="469"/>
      <c r="CO481" s="469"/>
      <c r="CP481" s="469"/>
      <c r="CQ481" s="469"/>
      <c r="CR481" s="469"/>
      <c r="CS481" s="469"/>
      <c r="CT481" s="469"/>
      <c r="CU481" s="469"/>
      <c r="CV481" s="469"/>
      <c r="CW481" s="469"/>
      <c r="CX481" s="469"/>
      <c r="CY481" s="469"/>
      <c r="CZ481" s="469"/>
      <c r="DA481" s="469"/>
      <c r="DB481" s="469"/>
      <c r="DC481" s="469"/>
      <c r="DD481" s="469"/>
      <c r="DE481" s="469"/>
      <c r="DF481" s="469"/>
      <c r="DG481" s="469"/>
      <c r="DH481" s="469"/>
      <c r="DI481" s="469"/>
      <c r="DJ481" s="469"/>
      <c r="DK481" s="469"/>
      <c r="DL481" s="469"/>
      <c r="DM481" s="469">
        <v>85100</v>
      </c>
      <c r="DN481" s="469"/>
      <c r="DO481" s="469"/>
      <c r="DP481" s="469"/>
      <c r="DQ481" s="469"/>
    </row>
    <row r="482" spans="1:121" x14ac:dyDescent="0.2">
      <c r="A482" s="855"/>
      <c r="B482" s="855"/>
      <c r="C482" s="855"/>
      <c r="D482" s="1" t="s">
        <v>1936</v>
      </c>
      <c r="E482" s="855"/>
      <c r="F482" s="1"/>
      <c r="G482" s="1"/>
      <c r="H482" s="1"/>
      <c r="I482" s="1"/>
      <c r="J482" s="1"/>
      <c r="K482" s="1"/>
      <c r="L482" s="116"/>
      <c r="M482" s="116"/>
      <c r="N482" s="116"/>
      <c r="O482" s="116"/>
      <c r="P482" s="375"/>
      <c r="Q482" s="116"/>
      <c r="R482" s="116"/>
      <c r="S482" s="116"/>
      <c r="T482" s="116"/>
      <c r="U482" s="116"/>
      <c r="V482" s="116"/>
      <c r="W482" s="116"/>
      <c r="X482" s="116"/>
      <c r="Y482" s="116"/>
      <c r="Z482" s="116"/>
      <c r="AA482" s="116"/>
      <c r="AB482" s="116"/>
      <c r="AC482" s="116"/>
      <c r="AD482" s="116"/>
      <c r="AE482" s="116"/>
      <c r="AF482" s="116"/>
      <c r="AG482" s="116"/>
      <c r="AH482" s="1"/>
      <c r="AI482" s="46"/>
      <c r="AJ482" s="46"/>
      <c r="AK482" s="46"/>
      <c r="AL482" s="46"/>
      <c r="AM482" s="46"/>
      <c r="AN482" s="46"/>
      <c r="AO482" s="46"/>
      <c r="AP482" s="46"/>
      <c r="AQ482" s="1"/>
      <c r="AR482" s="15"/>
      <c r="AS482" s="15"/>
      <c r="AT482" s="15"/>
      <c r="AU482" s="15"/>
      <c r="AV482" s="15"/>
      <c r="AW482" s="15"/>
      <c r="AX482" s="15"/>
      <c r="AY482" s="15"/>
      <c r="AZ482" s="15"/>
      <c r="BA482" s="15"/>
      <c r="BB482" s="15"/>
      <c r="BC482" s="15"/>
      <c r="BD482" s="102"/>
      <c r="BE482" s="15"/>
      <c r="BF482" s="15"/>
      <c r="BG482" s="15"/>
      <c r="BH482" s="15"/>
      <c r="BI482" s="15"/>
      <c r="BJ482" s="15"/>
      <c r="BK482" s="15"/>
      <c r="BL482" s="15"/>
      <c r="BM482" s="15"/>
      <c r="BN482" s="15"/>
      <c r="BO482" s="15"/>
      <c r="BP482" s="15"/>
      <c r="BQ482" s="242"/>
      <c r="BR482" s="15"/>
      <c r="BS482" s="15"/>
      <c r="BT482" s="15"/>
      <c r="BU482" s="15"/>
      <c r="BV482" s="15"/>
      <c r="BW482" s="15"/>
      <c r="BX482" s="15"/>
      <c r="BY482" s="15"/>
      <c r="BZ482" s="15"/>
      <c r="CA482" s="15"/>
      <c r="CB482" s="15"/>
      <c r="CC482" s="15"/>
      <c r="CD482" s="15"/>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row>
    <row r="483" spans="1:121" x14ac:dyDescent="0.2">
      <c r="A483" s="855"/>
      <c r="B483" s="855"/>
      <c r="C483" s="855"/>
      <c r="D483" s="1" t="s">
        <v>480</v>
      </c>
      <c r="E483" s="855"/>
      <c r="F483" s="1"/>
      <c r="G483" s="1"/>
      <c r="H483" s="1"/>
      <c r="I483" s="1"/>
      <c r="J483" s="1"/>
      <c r="K483" s="1"/>
      <c r="L483" s="116"/>
      <c r="M483" s="116"/>
      <c r="N483" s="116"/>
      <c r="O483" s="116"/>
      <c r="P483" s="375"/>
      <c r="Q483" s="116"/>
      <c r="R483" s="116"/>
      <c r="S483" s="116"/>
      <c r="T483" s="116"/>
      <c r="U483" s="116"/>
      <c r="V483" s="116"/>
      <c r="W483" s="116"/>
      <c r="X483" s="116"/>
      <c r="Y483" s="116"/>
      <c r="Z483" s="116"/>
      <c r="AA483" s="116"/>
      <c r="AB483" s="116"/>
      <c r="AC483" s="116"/>
      <c r="AD483" s="116"/>
      <c r="AE483" s="116"/>
      <c r="AF483" s="116"/>
      <c r="AG483" s="116"/>
      <c r="AH483" s="1"/>
      <c r="AI483" s="46"/>
      <c r="AJ483" s="46"/>
      <c r="AK483" s="46"/>
      <c r="AL483" s="46"/>
      <c r="AM483" s="46"/>
      <c r="AN483" s="46"/>
      <c r="AO483" s="46"/>
      <c r="AP483" s="46"/>
      <c r="AQ483" s="1"/>
      <c r="AR483" s="15"/>
      <c r="AS483" s="15"/>
      <c r="AT483" s="15"/>
      <c r="AU483" s="15"/>
      <c r="AV483" s="15"/>
      <c r="AW483" s="15"/>
      <c r="AX483" s="15"/>
      <c r="AY483" s="15"/>
      <c r="AZ483" s="15"/>
      <c r="BA483" s="15"/>
      <c r="BB483" s="15"/>
      <c r="BC483" s="15"/>
      <c r="BD483" s="102"/>
      <c r="BE483" s="15"/>
      <c r="BF483" s="15"/>
      <c r="BG483" s="15"/>
      <c r="BH483" s="15"/>
      <c r="BI483" s="15"/>
      <c r="BJ483" s="15"/>
      <c r="BK483" s="15"/>
      <c r="BL483" s="15"/>
      <c r="BM483" s="15"/>
      <c r="BN483" s="15"/>
      <c r="BO483" s="15"/>
      <c r="BP483" s="15"/>
      <c r="BQ483" s="242"/>
      <c r="BR483" s="15"/>
      <c r="BS483" s="15"/>
      <c r="BT483" s="15"/>
      <c r="BU483" s="15"/>
      <c r="BV483" s="15"/>
      <c r="BW483" s="15"/>
      <c r="BX483" s="15"/>
      <c r="BY483" s="15"/>
      <c r="BZ483" s="15"/>
      <c r="CA483" s="15"/>
      <c r="CB483" s="15"/>
      <c r="CC483" s="15"/>
      <c r="CD483" s="15"/>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row>
    <row r="484" spans="1:121" s="624" customFormat="1" x14ac:dyDescent="0.2">
      <c r="A484" s="855"/>
      <c r="B484" s="855"/>
      <c r="C484" s="855"/>
      <c r="D484" s="469" t="s">
        <v>1902</v>
      </c>
      <c r="E484" s="855"/>
      <c r="F484" s="469"/>
      <c r="G484" s="469"/>
      <c r="H484" s="469"/>
      <c r="I484" s="469"/>
      <c r="J484" s="469"/>
      <c r="K484" s="469"/>
      <c r="L484" s="626"/>
      <c r="M484" s="626"/>
      <c r="N484" s="626"/>
      <c r="O484" s="626"/>
      <c r="P484" s="627"/>
      <c r="Q484" s="626"/>
      <c r="R484" s="626"/>
      <c r="S484" s="626"/>
      <c r="T484" s="626"/>
      <c r="U484" s="626"/>
      <c r="V484" s="626"/>
      <c r="W484" s="626"/>
      <c r="X484" s="626"/>
      <c r="Y484" s="626"/>
      <c r="Z484" s="626"/>
      <c r="AA484" s="626"/>
      <c r="AB484" s="626"/>
      <c r="AC484" s="626"/>
      <c r="AD484" s="626"/>
      <c r="AE484" s="626"/>
      <c r="AF484" s="626"/>
      <c r="AG484" s="626"/>
      <c r="AH484" s="469"/>
      <c r="AI484" s="617"/>
      <c r="AJ484" s="617"/>
      <c r="AK484" s="617"/>
      <c r="AL484" s="617"/>
      <c r="AM484" s="617"/>
      <c r="AN484" s="617"/>
      <c r="AO484" s="617"/>
      <c r="AP484" s="617"/>
      <c r="AQ484" s="469"/>
      <c r="AR484" s="618"/>
      <c r="AS484" s="618"/>
      <c r="AT484" s="618"/>
      <c r="AU484" s="618"/>
      <c r="AV484" s="618"/>
      <c r="AW484" s="618"/>
      <c r="AX484" s="618"/>
      <c r="AY484" s="618"/>
      <c r="AZ484" s="618"/>
      <c r="BA484" s="618"/>
      <c r="BB484" s="618"/>
      <c r="BC484" s="618"/>
      <c r="BD484" s="620"/>
      <c r="BE484" s="618"/>
      <c r="BF484" s="618"/>
      <c r="BG484" s="618"/>
      <c r="BH484" s="618"/>
      <c r="BI484" s="618"/>
      <c r="BJ484" s="618"/>
      <c r="BK484" s="618"/>
      <c r="BL484" s="618"/>
      <c r="BM484" s="618"/>
      <c r="BN484" s="618"/>
      <c r="BO484" s="618"/>
      <c r="BP484" s="618"/>
      <c r="BQ484" s="634"/>
      <c r="BR484" s="618"/>
      <c r="BS484" s="618"/>
      <c r="BT484" s="618"/>
      <c r="BU484" s="618"/>
      <c r="BV484" s="618"/>
      <c r="BW484" s="618"/>
      <c r="BX484" s="618"/>
      <c r="BY484" s="618"/>
      <c r="BZ484" s="618"/>
      <c r="CA484" s="618"/>
      <c r="CB484" s="618"/>
      <c r="CC484" s="618"/>
      <c r="CD484" s="618"/>
      <c r="CE484" s="469"/>
      <c r="CF484" s="469"/>
      <c r="CG484" s="469"/>
      <c r="CH484" s="469"/>
      <c r="CI484" s="469"/>
      <c r="CJ484" s="469"/>
      <c r="CK484" s="469"/>
      <c r="CL484" s="469"/>
      <c r="CM484" s="469"/>
      <c r="CN484" s="469"/>
      <c r="CO484" s="469"/>
      <c r="CP484" s="469"/>
      <c r="CQ484" s="469"/>
      <c r="CR484" s="469"/>
      <c r="CS484" s="469"/>
      <c r="CT484" s="469"/>
      <c r="CU484" s="469"/>
      <c r="CV484" s="469"/>
      <c r="CW484" s="469"/>
      <c r="CX484" s="469"/>
      <c r="CY484" s="469"/>
      <c r="CZ484" s="469"/>
      <c r="DA484" s="469"/>
      <c r="DB484" s="469"/>
      <c r="DC484" s="469"/>
      <c r="DD484" s="469"/>
      <c r="DE484" s="469"/>
      <c r="DF484" s="469"/>
      <c r="DG484" s="469"/>
      <c r="DH484" s="469"/>
      <c r="DI484" s="469"/>
      <c r="DJ484" s="469"/>
      <c r="DK484" s="469"/>
      <c r="DL484" s="469">
        <v>155927.35</v>
      </c>
      <c r="DM484" s="469"/>
      <c r="DN484" s="469"/>
      <c r="DO484" s="469"/>
      <c r="DP484" s="469"/>
      <c r="DQ484" s="469"/>
    </row>
    <row r="485" spans="1:121" x14ac:dyDescent="0.2">
      <c r="A485" s="856"/>
      <c r="B485" s="856"/>
      <c r="C485" s="856"/>
      <c r="D485" s="1" t="s">
        <v>1937</v>
      </c>
      <c r="E485" s="856"/>
      <c r="F485" s="1"/>
      <c r="G485" s="1"/>
      <c r="H485" s="1"/>
      <c r="I485" s="1"/>
      <c r="J485" s="1"/>
      <c r="K485" s="1"/>
      <c r="L485" s="116"/>
      <c r="M485" s="116"/>
      <c r="N485" s="116"/>
      <c r="O485" s="116"/>
      <c r="P485" s="375"/>
      <c r="Q485" s="116"/>
      <c r="R485" s="116"/>
      <c r="S485" s="116"/>
      <c r="T485" s="116"/>
      <c r="U485" s="116"/>
      <c r="V485" s="116"/>
      <c r="W485" s="116"/>
      <c r="X485" s="116"/>
      <c r="Y485" s="116"/>
      <c r="Z485" s="116"/>
      <c r="AA485" s="116"/>
      <c r="AB485" s="116"/>
      <c r="AC485" s="116"/>
      <c r="AD485" s="116"/>
      <c r="AE485" s="116"/>
      <c r="AF485" s="116"/>
      <c r="AG485" s="116"/>
      <c r="AH485" s="1"/>
      <c r="AI485" s="46"/>
      <c r="AJ485" s="46"/>
      <c r="AK485" s="46"/>
      <c r="AL485" s="46"/>
      <c r="AM485" s="46"/>
      <c r="AN485" s="46"/>
      <c r="AO485" s="46"/>
      <c r="AP485" s="46"/>
      <c r="AQ485" s="1"/>
      <c r="AR485" s="15"/>
      <c r="AS485" s="15"/>
      <c r="AT485" s="15"/>
      <c r="AU485" s="15"/>
      <c r="AV485" s="15"/>
      <c r="AW485" s="15"/>
      <c r="AX485" s="15"/>
      <c r="AY485" s="15"/>
      <c r="AZ485" s="15"/>
      <c r="BA485" s="15"/>
      <c r="BB485" s="15"/>
      <c r="BC485" s="15"/>
      <c r="BD485" s="102"/>
      <c r="BE485" s="15"/>
      <c r="BF485" s="15"/>
      <c r="BG485" s="15"/>
      <c r="BH485" s="15"/>
      <c r="BI485" s="15"/>
      <c r="BJ485" s="15"/>
      <c r="BK485" s="15"/>
      <c r="BL485" s="15"/>
      <c r="BM485" s="15"/>
      <c r="BN485" s="15"/>
      <c r="BO485" s="15"/>
      <c r="BP485" s="15"/>
      <c r="BQ485" s="242"/>
      <c r="BR485" s="15"/>
      <c r="BS485" s="15"/>
      <c r="BT485" s="15"/>
      <c r="BU485" s="15"/>
      <c r="BV485" s="15"/>
      <c r="BW485" s="15"/>
      <c r="BX485" s="15"/>
      <c r="BY485" s="15"/>
      <c r="BZ485" s="15"/>
      <c r="CA485" s="15"/>
      <c r="CB485" s="15"/>
      <c r="CC485" s="15"/>
      <c r="CD485" s="15"/>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row>
    <row r="486" spans="1:121" x14ac:dyDescent="0.2">
      <c r="A486" s="854"/>
      <c r="B486" s="854"/>
      <c r="C486" s="854" t="s">
        <v>1987</v>
      </c>
      <c r="D486" s="1" t="s">
        <v>1940</v>
      </c>
      <c r="E486" s="854"/>
      <c r="F486" s="1"/>
      <c r="G486" s="1"/>
      <c r="H486" s="1"/>
      <c r="I486" s="1"/>
      <c r="J486" s="1"/>
      <c r="K486" s="1"/>
      <c r="L486" s="116"/>
      <c r="M486" s="116"/>
      <c r="N486" s="116"/>
      <c r="O486" s="116"/>
      <c r="P486" s="375"/>
      <c r="Q486" s="116"/>
      <c r="R486" s="116"/>
      <c r="S486" s="116"/>
      <c r="T486" s="116"/>
      <c r="U486" s="116"/>
      <c r="V486" s="116"/>
      <c r="W486" s="116"/>
      <c r="X486" s="116"/>
      <c r="Y486" s="116"/>
      <c r="Z486" s="116"/>
      <c r="AA486" s="116"/>
      <c r="AB486" s="116"/>
      <c r="AC486" s="116"/>
      <c r="AD486" s="116"/>
      <c r="AE486" s="116"/>
      <c r="AF486" s="116"/>
      <c r="AG486" s="116"/>
      <c r="AH486" s="1"/>
      <c r="AI486" s="46"/>
      <c r="AJ486" s="46"/>
      <c r="AK486" s="46"/>
      <c r="AL486" s="46"/>
      <c r="AM486" s="46"/>
      <c r="AN486" s="46"/>
      <c r="AO486" s="46"/>
      <c r="AP486" s="46"/>
      <c r="AQ486" s="1"/>
      <c r="AR486" s="15"/>
      <c r="AS486" s="15"/>
      <c r="AT486" s="15"/>
      <c r="AU486" s="15"/>
      <c r="AV486" s="15"/>
      <c r="AW486" s="15"/>
      <c r="AX486" s="15"/>
      <c r="AY486" s="15"/>
      <c r="AZ486" s="15"/>
      <c r="BA486" s="15"/>
      <c r="BB486" s="15"/>
      <c r="BC486" s="15"/>
      <c r="BD486" s="102"/>
      <c r="BE486" s="15"/>
      <c r="BF486" s="15"/>
      <c r="BG486" s="15"/>
      <c r="BH486" s="15"/>
      <c r="BI486" s="15"/>
      <c r="BJ486" s="15"/>
      <c r="BK486" s="15"/>
      <c r="BL486" s="15"/>
      <c r="BM486" s="15"/>
      <c r="BN486" s="15"/>
      <c r="BO486" s="15"/>
      <c r="BP486" s="15"/>
      <c r="BQ486" s="242"/>
      <c r="BR486" s="15"/>
      <c r="BS486" s="15"/>
      <c r="BT486" s="15"/>
      <c r="BU486" s="15"/>
      <c r="BV486" s="15"/>
      <c r="BW486" s="15"/>
      <c r="BX486" s="15"/>
      <c r="BY486" s="15"/>
      <c r="BZ486" s="15"/>
      <c r="CA486" s="15"/>
      <c r="CB486" s="15"/>
      <c r="CC486" s="15"/>
      <c r="CD486" s="15"/>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row>
    <row r="487" spans="1:121" x14ac:dyDescent="0.2">
      <c r="A487" s="855"/>
      <c r="B487" s="855"/>
      <c r="C487" s="855"/>
      <c r="D487" s="1" t="s">
        <v>1941</v>
      </c>
      <c r="E487" s="855"/>
      <c r="F487" s="1"/>
      <c r="G487" s="1"/>
      <c r="H487" s="1"/>
      <c r="I487" s="1"/>
      <c r="J487" s="1"/>
      <c r="K487" s="1"/>
      <c r="L487" s="116"/>
      <c r="M487" s="116"/>
      <c r="N487" s="116"/>
      <c r="O487" s="116"/>
      <c r="P487" s="375"/>
      <c r="Q487" s="116"/>
      <c r="R487" s="116"/>
      <c r="S487" s="116"/>
      <c r="T487" s="116"/>
      <c r="U487" s="116"/>
      <c r="V487" s="116"/>
      <c r="W487" s="116"/>
      <c r="X487" s="116"/>
      <c r="Y487" s="116"/>
      <c r="Z487" s="116"/>
      <c r="AA487" s="116"/>
      <c r="AB487" s="116"/>
      <c r="AC487" s="116"/>
      <c r="AD487" s="116"/>
      <c r="AE487" s="116"/>
      <c r="AF487" s="116"/>
      <c r="AG487" s="116"/>
      <c r="AH487" s="1"/>
      <c r="AI487" s="46"/>
      <c r="AJ487" s="46"/>
      <c r="AK487" s="46"/>
      <c r="AL487" s="46"/>
      <c r="AM487" s="46"/>
      <c r="AN487" s="46"/>
      <c r="AO487" s="46"/>
      <c r="AP487" s="46"/>
      <c r="AQ487" s="1"/>
      <c r="AR487" s="15"/>
      <c r="AS487" s="15"/>
      <c r="AT487" s="15"/>
      <c r="AU487" s="15"/>
      <c r="AV487" s="15"/>
      <c r="AW487" s="15"/>
      <c r="AX487" s="15"/>
      <c r="AY487" s="15"/>
      <c r="AZ487" s="15"/>
      <c r="BA487" s="15"/>
      <c r="BB487" s="15"/>
      <c r="BC487" s="15"/>
      <c r="BD487" s="102"/>
      <c r="BE487" s="15"/>
      <c r="BF487" s="15"/>
      <c r="BG487" s="15"/>
      <c r="BH487" s="15"/>
      <c r="BI487" s="15"/>
      <c r="BJ487" s="15"/>
      <c r="BK487" s="15"/>
      <c r="BL487" s="15"/>
      <c r="BM487" s="15"/>
      <c r="BN487" s="15"/>
      <c r="BO487" s="15"/>
      <c r="BP487" s="15"/>
      <c r="BQ487" s="242"/>
      <c r="BR487" s="15"/>
      <c r="BS487" s="15"/>
      <c r="BT487" s="15"/>
      <c r="BU487" s="15"/>
      <c r="BV487" s="15"/>
      <c r="BW487" s="15"/>
      <c r="BX487" s="15"/>
      <c r="BY487" s="15"/>
      <c r="BZ487" s="15"/>
      <c r="CA487" s="15"/>
      <c r="CB487" s="15"/>
      <c r="CC487" s="15"/>
      <c r="CD487" s="15"/>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row>
    <row r="488" spans="1:121" x14ac:dyDescent="0.2">
      <c r="A488" s="855"/>
      <c r="B488" s="855"/>
      <c r="C488" s="855"/>
      <c r="D488" s="1" t="s">
        <v>1942</v>
      </c>
      <c r="E488" s="855"/>
      <c r="F488" s="1"/>
      <c r="G488" s="1"/>
      <c r="H488" s="1"/>
      <c r="I488" s="1"/>
      <c r="J488" s="1"/>
      <c r="K488" s="1"/>
      <c r="L488" s="116"/>
      <c r="M488" s="116"/>
      <c r="N488" s="116"/>
      <c r="O488" s="116"/>
      <c r="P488" s="375"/>
      <c r="Q488" s="116"/>
      <c r="R488" s="116"/>
      <c r="S488" s="116"/>
      <c r="T488" s="116"/>
      <c r="U488" s="116"/>
      <c r="V488" s="116"/>
      <c r="W488" s="116"/>
      <c r="X488" s="116"/>
      <c r="Y488" s="116"/>
      <c r="Z488" s="116"/>
      <c r="AA488" s="116"/>
      <c r="AB488" s="116"/>
      <c r="AC488" s="116"/>
      <c r="AD488" s="116"/>
      <c r="AE488" s="116"/>
      <c r="AF488" s="116"/>
      <c r="AG488" s="116"/>
      <c r="AH488" s="1"/>
      <c r="AI488" s="46"/>
      <c r="AJ488" s="46"/>
      <c r="AK488" s="46"/>
      <c r="AL488" s="46"/>
      <c r="AM488" s="46"/>
      <c r="AN488" s="46"/>
      <c r="AO488" s="46"/>
      <c r="AP488" s="46"/>
      <c r="AQ488" s="1"/>
      <c r="AR488" s="15"/>
      <c r="AS488" s="15"/>
      <c r="AT488" s="15"/>
      <c r="AU488" s="15"/>
      <c r="AV488" s="15"/>
      <c r="AW488" s="15"/>
      <c r="AX488" s="15"/>
      <c r="AY488" s="15"/>
      <c r="AZ488" s="15"/>
      <c r="BA488" s="15"/>
      <c r="BB488" s="15"/>
      <c r="BC488" s="15"/>
      <c r="BD488" s="102"/>
      <c r="BE488" s="15"/>
      <c r="BF488" s="15"/>
      <c r="BG488" s="15"/>
      <c r="BH488" s="15"/>
      <c r="BI488" s="15"/>
      <c r="BJ488" s="15"/>
      <c r="BK488" s="15"/>
      <c r="BL488" s="15"/>
      <c r="BM488" s="15"/>
      <c r="BN488" s="15"/>
      <c r="BO488" s="15"/>
      <c r="BP488" s="15"/>
      <c r="BQ488" s="242"/>
      <c r="BR488" s="15"/>
      <c r="BS488" s="15"/>
      <c r="BT488" s="15"/>
      <c r="BU488" s="15"/>
      <c r="BV488" s="15"/>
      <c r="BW488" s="15"/>
      <c r="BX488" s="15"/>
      <c r="BY488" s="15"/>
      <c r="BZ488" s="15"/>
      <c r="CA488" s="15"/>
      <c r="CB488" s="15"/>
      <c r="CC488" s="15"/>
      <c r="CD488" s="15"/>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row>
    <row r="489" spans="1:121" x14ac:dyDescent="0.2">
      <c r="A489" s="855"/>
      <c r="B489" s="855"/>
      <c r="C489" s="855"/>
      <c r="D489" s="1" t="s">
        <v>1943</v>
      </c>
      <c r="E489" s="855"/>
      <c r="F489" s="1"/>
      <c r="G489" s="1"/>
      <c r="H489" s="1"/>
      <c r="I489" s="1"/>
      <c r="J489" s="1"/>
      <c r="K489" s="1"/>
      <c r="L489" s="116"/>
      <c r="M489" s="116"/>
      <c r="N489" s="116"/>
      <c r="O489" s="116"/>
      <c r="P489" s="375"/>
      <c r="Q489" s="116"/>
      <c r="R489" s="116"/>
      <c r="S489" s="116"/>
      <c r="T489" s="116"/>
      <c r="U489" s="116"/>
      <c r="V489" s="116"/>
      <c r="W489" s="116"/>
      <c r="X489" s="116"/>
      <c r="Y489" s="116"/>
      <c r="Z489" s="116"/>
      <c r="AA489" s="116"/>
      <c r="AB489" s="116"/>
      <c r="AC489" s="116"/>
      <c r="AD489" s="116"/>
      <c r="AE489" s="116"/>
      <c r="AF489" s="116"/>
      <c r="AG489" s="116"/>
      <c r="AH489" s="1"/>
      <c r="AI489" s="46"/>
      <c r="AJ489" s="46"/>
      <c r="AK489" s="46"/>
      <c r="AL489" s="46"/>
      <c r="AM489" s="46"/>
      <c r="AN489" s="46"/>
      <c r="AO489" s="46"/>
      <c r="AP489" s="46"/>
      <c r="AQ489" s="1"/>
      <c r="AR489" s="15"/>
      <c r="AS489" s="15"/>
      <c r="AT489" s="15"/>
      <c r="AU489" s="15"/>
      <c r="AV489" s="15"/>
      <c r="AW489" s="15"/>
      <c r="AX489" s="15"/>
      <c r="AY489" s="15"/>
      <c r="AZ489" s="15"/>
      <c r="BA489" s="15"/>
      <c r="BB489" s="15"/>
      <c r="BC489" s="15"/>
      <c r="BD489" s="102"/>
      <c r="BE489" s="15"/>
      <c r="BF489" s="15"/>
      <c r="BG489" s="15"/>
      <c r="BH489" s="15"/>
      <c r="BI489" s="15"/>
      <c r="BJ489" s="15"/>
      <c r="BK489" s="15"/>
      <c r="BL489" s="15"/>
      <c r="BM489" s="15"/>
      <c r="BN489" s="15"/>
      <c r="BO489" s="15"/>
      <c r="BP489" s="15"/>
      <c r="BQ489" s="242"/>
      <c r="BR489" s="15"/>
      <c r="BS489" s="15"/>
      <c r="BT489" s="15"/>
      <c r="BU489" s="15"/>
      <c r="BV489" s="15"/>
      <c r="BW489" s="15"/>
      <c r="BX489" s="15"/>
      <c r="BY489" s="15"/>
      <c r="BZ489" s="15"/>
      <c r="CA489" s="15"/>
      <c r="CB489" s="15"/>
      <c r="CC489" s="15"/>
      <c r="CD489" s="15"/>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row>
    <row r="490" spans="1:121" x14ac:dyDescent="0.2">
      <c r="A490" s="855"/>
      <c r="B490" s="855"/>
      <c r="C490" s="855"/>
      <c r="D490" s="1" t="s">
        <v>1944</v>
      </c>
      <c r="E490" s="855"/>
      <c r="F490" s="1"/>
      <c r="G490" s="1"/>
      <c r="H490" s="1"/>
      <c r="I490" s="1"/>
      <c r="J490" s="1"/>
      <c r="K490" s="1"/>
      <c r="L490" s="116"/>
      <c r="M490" s="116"/>
      <c r="N490" s="116"/>
      <c r="O490" s="116"/>
      <c r="P490" s="375"/>
      <c r="Q490" s="116"/>
      <c r="R490" s="116"/>
      <c r="S490" s="116"/>
      <c r="T490" s="116"/>
      <c r="U490" s="116"/>
      <c r="V490" s="116"/>
      <c r="W490" s="116"/>
      <c r="X490" s="116"/>
      <c r="Y490" s="116"/>
      <c r="Z490" s="116"/>
      <c r="AA490" s="116"/>
      <c r="AB490" s="116"/>
      <c r="AC490" s="116"/>
      <c r="AD490" s="116"/>
      <c r="AE490" s="116"/>
      <c r="AF490" s="116"/>
      <c r="AG490" s="116"/>
      <c r="AH490" s="1"/>
      <c r="AI490" s="46"/>
      <c r="AJ490" s="46"/>
      <c r="AK490" s="46"/>
      <c r="AL490" s="46"/>
      <c r="AM490" s="46"/>
      <c r="AN490" s="46"/>
      <c r="AO490" s="46"/>
      <c r="AP490" s="46"/>
      <c r="AQ490" s="1"/>
      <c r="AR490" s="15"/>
      <c r="AS490" s="15"/>
      <c r="AT490" s="15"/>
      <c r="AU490" s="15"/>
      <c r="AV490" s="15"/>
      <c r="AW490" s="15"/>
      <c r="AX490" s="15"/>
      <c r="AY490" s="15"/>
      <c r="AZ490" s="15"/>
      <c r="BA490" s="15"/>
      <c r="BB490" s="15"/>
      <c r="BC490" s="15"/>
      <c r="BD490" s="102"/>
      <c r="BE490" s="15"/>
      <c r="BF490" s="15"/>
      <c r="BG490" s="15"/>
      <c r="BH490" s="15"/>
      <c r="BI490" s="15"/>
      <c r="BJ490" s="15"/>
      <c r="BK490" s="15"/>
      <c r="BL490" s="15"/>
      <c r="BM490" s="15"/>
      <c r="BN490" s="15"/>
      <c r="BO490" s="15"/>
      <c r="BP490" s="15"/>
      <c r="BQ490" s="242"/>
      <c r="BR490" s="15"/>
      <c r="BS490" s="15"/>
      <c r="BT490" s="15"/>
      <c r="BU490" s="15"/>
      <c r="BV490" s="15"/>
      <c r="BW490" s="15"/>
      <c r="BX490" s="15"/>
      <c r="BY490" s="15"/>
      <c r="BZ490" s="15"/>
      <c r="CA490" s="15"/>
      <c r="CB490" s="15"/>
      <c r="CC490" s="15"/>
      <c r="CD490" s="15"/>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row>
    <row r="491" spans="1:121" x14ac:dyDescent="0.2">
      <c r="A491" s="855"/>
      <c r="B491" s="855"/>
      <c r="C491" s="855"/>
      <c r="D491" s="1" t="s">
        <v>1945</v>
      </c>
      <c r="E491" s="855"/>
      <c r="F491" s="1"/>
      <c r="G491" s="1"/>
      <c r="H491" s="1"/>
      <c r="I491" s="1"/>
      <c r="J491" s="1"/>
      <c r="K491" s="1"/>
      <c r="L491" s="116"/>
      <c r="M491" s="116"/>
      <c r="N491" s="116"/>
      <c r="O491" s="116"/>
      <c r="P491" s="375"/>
      <c r="Q491" s="116"/>
      <c r="R491" s="116"/>
      <c r="S491" s="116"/>
      <c r="T491" s="116"/>
      <c r="U491" s="116"/>
      <c r="V491" s="116"/>
      <c r="W491" s="116"/>
      <c r="X491" s="116"/>
      <c r="Y491" s="116"/>
      <c r="Z491" s="116"/>
      <c r="AA491" s="116"/>
      <c r="AB491" s="116"/>
      <c r="AC491" s="116"/>
      <c r="AD491" s="116"/>
      <c r="AE491" s="116"/>
      <c r="AF491" s="116"/>
      <c r="AG491" s="116"/>
      <c r="AH491" s="1"/>
      <c r="AI491" s="46"/>
      <c r="AJ491" s="46"/>
      <c r="AK491" s="46"/>
      <c r="AL491" s="46"/>
      <c r="AM491" s="46"/>
      <c r="AN491" s="46"/>
      <c r="AO491" s="46"/>
      <c r="AP491" s="46"/>
      <c r="AQ491" s="1"/>
      <c r="AR491" s="15"/>
      <c r="AS491" s="15"/>
      <c r="AT491" s="15"/>
      <c r="AU491" s="15"/>
      <c r="AV491" s="15"/>
      <c r="AW491" s="15"/>
      <c r="AX491" s="15"/>
      <c r="AY491" s="15"/>
      <c r="AZ491" s="15"/>
      <c r="BA491" s="15"/>
      <c r="BB491" s="15"/>
      <c r="BC491" s="15"/>
      <c r="BD491" s="102"/>
      <c r="BE491" s="15"/>
      <c r="BF491" s="15"/>
      <c r="BG491" s="15"/>
      <c r="BH491" s="15"/>
      <c r="BI491" s="15"/>
      <c r="BJ491" s="15"/>
      <c r="BK491" s="15"/>
      <c r="BL491" s="15"/>
      <c r="BM491" s="15"/>
      <c r="BN491" s="15"/>
      <c r="BO491" s="15"/>
      <c r="BP491" s="15"/>
      <c r="BQ491" s="242"/>
      <c r="BR491" s="15"/>
      <c r="BS491" s="15"/>
      <c r="BT491" s="15"/>
      <c r="BU491" s="15"/>
      <c r="BV491" s="15"/>
      <c r="BW491" s="15"/>
      <c r="BX491" s="15"/>
      <c r="BY491" s="15"/>
      <c r="BZ491" s="15"/>
      <c r="CA491" s="15"/>
      <c r="CB491" s="15"/>
      <c r="CC491" s="15"/>
      <c r="CD491" s="15"/>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row>
    <row r="492" spans="1:121" x14ac:dyDescent="0.2">
      <c r="A492" s="855"/>
      <c r="B492" s="855"/>
      <c r="C492" s="855"/>
      <c r="D492" s="1" t="s">
        <v>1946</v>
      </c>
      <c r="E492" s="855"/>
      <c r="F492" s="1"/>
      <c r="G492" s="1"/>
      <c r="H492" s="1"/>
      <c r="I492" s="1"/>
      <c r="J492" s="1"/>
      <c r="K492" s="1"/>
      <c r="L492" s="116"/>
      <c r="M492" s="116"/>
      <c r="N492" s="116"/>
      <c r="O492" s="116"/>
      <c r="P492" s="375"/>
      <c r="Q492" s="116"/>
      <c r="R492" s="116"/>
      <c r="S492" s="116"/>
      <c r="T492" s="116"/>
      <c r="U492" s="116"/>
      <c r="V492" s="116"/>
      <c r="W492" s="116"/>
      <c r="X492" s="116"/>
      <c r="Y492" s="116"/>
      <c r="Z492" s="116"/>
      <c r="AA492" s="116"/>
      <c r="AB492" s="116"/>
      <c r="AC492" s="116"/>
      <c r="AD492" s="116"/>
      <c r="AE492" s="116"/>
      <c r="AF492" s="116"/>
      <c r="AG492" s="116"/>
      <c r="AH492" s="1"/>
      <c r="AI492" s="46"/>
      <c r="AJ492" s="46"/>
      <c r="AK492" s="46"/>
      <c r="AL492" s="46"/>
      <c r="AM492" s="46"/>
      <c r="AN492" s="46"/>
      <c r="AO492" s="46"/>
      <c r="AP492" s="46"/>
      <c r="AQ492" s="1"/>
      <c r="AR492" s="15"/>
      <c r="AS492" s="15"/>
      <c r="AT492" s="15"/>
      <c r="AU492" s="15"/>
      <c r="AV492" s="15"/>
      <c r="AW492" s="15"/>
      <c r="AX492" s="15"/>
      <c r="AY492" s="15"/>
      <c r="AZ492" s="15"/>
      <c r="BA492" s="15"/>
      <c r="BB492" s="15"/>
      <c r="BC492" s="15"/>
      <c r="BD492" s="102"/>
      <c r="BE492" s="15"/>
      <c r="BF492" s="15"/>
      <c r="BG492" s="15"/>
      <c r="BH492" s="15"/>
      <c r="BI492" s="15"/>
      <c r="BJ492" s="15"/>
      <c r="BK492" s="15"/>
      <c r="BL492" s="15"/>
      <c r="BM492" s="15"/>
      <c r="BN492" s="15"/>
      <c r="BO492" s="15"/>
      <c r="BP492" s="15"/>
      <c r="BQ492" s="242"/>
      <c r="BR492" s="15"/>
      <c r="BS492" s="15"/>
      <c r="BT492" s="15"/>
      <c r="BU492" s="15"/>
      <c r="BV492" s="15"/>
      <c r="BW492" s="15"/>
      <c r="BX492" s="15"/>
      <c r="BY492" s="15"/>
      <c r="BZ492" s="15"/>
      <c r="CA492" s="15"/>
      <c r="CB492" s="15"/>
      <c r="CC492" s="15"/>
      <c r="CD492" s="15"/>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row>
    <row r="493" spans="1:121" x14ac:dyDescent="0.2">
      <c r="A493" s="855"/>
      <c r="B493" s="855"/>
      <c r="C493" s="855"/>
      <c r="D493" s="1" t="s">
        <v>1947</v>
      </c>
      <c r="E493" s="855"/>
      <c r="F493" s="1"/>
      <c r="G493" s="1"/>
      <c r="H493" s="1"/>
      <c r="I493" s="1"/>
      <c r="J493" s="1"/>
      <c r="K493" s="1"/>
      <c r="L493" s="116"/>
      <c r="M493" s="116"/>
      <c r="N493" s="116"/>
      <c r="O493" s="116"/>
      <c r="P493" s="375"/>
      <c r="Q493" s="116"/>
      <c r="R493" s="116"/>
      <c r="S493" s="116"/>
      <c r="T493" s="116"/>
      <c r="U493" s="116"/>
      <c r="V493" s="116"/>
      <c r="W493" s="116"/>
      <c r="X493" s="116"/>
      <c r="Y493" s="116"/>
      <c r="Z493" s="116"/>
      <c r="AA493" s="116"/>
      <c r="AB493" s="116"/>
      <c r="AC493" s="116"/>
      <c r="AD493" s="116"/>
      <c r="AE493" s="116"/>
      <c r="AF493" s="116"/>
      <c r="AG493" s="116"/>
      <c r="AH493" s="1"/>
      <c r="AI493" s="46"/>
      <c r="AJ493" s="46"/>
      <c r="AK493" s="46"/>
      <c r="AL493" s="46"/>
      <c r="AM493" s="46"/>
      <c r="AN493" s="46"/>
      <c r="AO493" s="46"/>
      <c r="AP493" s="46"/>
      <c r="AQ493" s="1"/>
      <c r="AR493" s="15"/>
      <c r="AS493" s="15"/>
      <c r="AT493" s="15"/>
      <c r="AU493" s="15"/>
      <c r="AV493" s="15"/>
      <c r="AW493" s="15"/>
      <c r="AX493" s="15"/>
      <c r="AY493" s="15"/>
      <c r="AZ493" s="15"/>
      <c r="BA493" s="15"/>
      <c r="BB493" s="15"/>
      <c r="BC493" s="15"/>
      <c r="BD493" s="102"/>
      <c r="BE493" s="15"/>
      <c r="BF493" s="15"/>
      <c r="BG493" s="15"/>
      <c r="BH493" s="15"/>
      <c r="BI493" s="15"/>
      <c r="BJ493" s="15"/>
      <c r="BK493" s="15"/>
      <c r="BL493" s="15"/>
      <c r="BM493" s="15"/>
      <c r="BN493" s="15"/>
      <c r="BO493" s="15"/>
      <c r="BP493" s="15"/>
      <c r="BQ493" s="242"/>
      <c r="BR493" s="15"/>
      <c r="BS493" s="15"/>
      <c r="BT493" s="15"/>
      <c r="BU493" s="15"/>
      <c r="BV493" s="15"/>
      <c r="BW493" s="15"/>
      <c r="BX493" s="15"/>
      <c r="BY493" s="15"/>
      <c r="BZ493" s="15"/>
      <c r="CA493" s="15"/>
      <c r="CB493" s="15"/>
      <c r="CC493" s="15"/>
      <c r="CD493" s="15"/>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row>
    <row r="494" spans="1:121" x14ac:dyDescent="0.2">
      <c r="A494" s="855"/>
      <c r="B494" s="855"/>
      <c r="C494" s="855"/>
      <c r="D494" s="1" t="s">
        <v>1948</v>
      </c>
      <c r="E494" s="855"/>
      <c r="F494" s="1"/>
      <c r="G494" s="1"/>
      <c r="H494" s="1"/>
      <c r="I494" s="1"/>
      <c r="J494" s="1"/>
      <c r="K494" s="1"/>
      <c r="L494" s="116"/>
      <c r="M494" s="116"/>
      <c r="N494" s="116"/>
      <c r="O494" s="116"/>
      <c r="P494" s="375"/>
      <c r="Q494" s="116"/>
      <c r="R494" s="116"/>
      <c r="S494" s="116"/>
      <c r="T494" s="116"/>
      <c r="U494" s="116"/>
      <c r="V494" s="116"/>
      <c r="W494" s="116"/>
      <c r="X494" s="116"/>
      <c r="Y494" s="116"/>
      <c r="Z494" s="116"/>
      <c r="AA494" s="116"/>
      <c r="AB494" s="116"/>
      <c r="AC494" s="116"/>
      <c r="AD494" s="116"/>
      <c r="AE494" s="116"/>
      <c r="AF494" s="116"/>
      <c r="AG494" s="116"/>
      <c r="AH494" s="1"/>
      <c r="AI494" s="46"/>
      <c r="AJ494" s="46"/>
      <c r="AK494" s="46"/>
      <c r="AL494" s="46"/>
      <c r="AM494" s="46"/>
      <c r="AN494" s="46"/>
      <c r="AO494" s="46"/>
      <c r="AP494" s="46"/>
      <c r="AQ494" s="1"/>
      <c r="AR494" s="15"/>
      <c r="AS494" s="15"/>
      <c r="AT494" s="15"/>
      <c r="AU494" s="15"/>
      <c r="AV494" s="15"/>
      <c r="AW494" s="15"/>
      <c r="AX494" s="15"/>
      <c r="AY494" s="15"/>
      <c r="AZ494" s="15"/>
      <c r="BA494" s="15"/>
      <c r="BB494" s="15"/>
      <c r="BC494" s="15"/>
      <c r="BD494" s="102"/>
      <c r="BE494" s="15"/>
      <c r="BF494" s="15"/>
      <c r="BG494" s="15"/>
      <c r="BH494" s="15"/>
      <c r="BI494" s="15"/>
      <c r="BJ494" s="15"/>
      <c r="BK494" s="15"/>
      <c r="BL494" s="15"/>
      <c r="BM494" s="15"/>
      <c r="BN494" s="15"/>
      <c r="BO494" s="15"/>
      <c r="BP494" s="15"/>
      <c r="BQ494" s="242"/>
      <c r="BR494" s="15"/>
      <c r="BS494" s="15"/>
      <c r="BT494" s="15"/>
      <c r="BU494" s="15"/>
      <c r="BV494" s="15"/>
      <c r="BW494" s="15"/>
      <c r="BX494" s="15"/>
      <c r="BY494" s="15"/>
      <c r="BZ494" s="15"/>
      <c r="CA494" s="15"/>
      <c r="CB494" s="15"/>
      <c r="CC494" s="15"/>
      <c r="CD494" s="15"/>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row>
    <row r="495" spans="1:121" x14ac:dyDescent="0.2">
      <c r="A495" s="855"/>
      <c r="B495" s="855"/>
      <c r="C495" s="855"/>
      <c r="D495" s="1" t="s">
        <v>1949</v>
      </c>
      <c r="E495" s="855"/>
      <c r="F495" s="1"/>
      <c r="G495" s="1"/>
      <c r="H495" s="1"/>
      <c r="I495" s="1"/>
      <c r="J495" s="1"/>
      <c r="K495" s="1"/>
      <c r="L495" s="116"/>
      <c r="M495" s="116"/>
      <c r="N495" s="116"/>
      <c r="O495" s="116"/>
      <c r="P495" s="375"/>
      <c r="Q495" s="116"/>
      <c r="R495" s="116"/>
      <c r="S495" s="116"/>
      <c r="T495" s="116"/>
      <c r="U495" s="116"/>
      <c r="V495" s="116"/>
      <c r="W495" s="116"/>
      <c r="X495" s="116"/>
      <c r="Y495" s="116"/>
      <c r="Z495" s="116"/>
      <c r="AA495" s="116"/>
      <c r="AB495" s="116"/>
      <c r="AC495" s="116"/>
      <c r="AD495" s="116"/>
      <c r="AE495" s="116"/>
      <c r="AF495" s="116"/>
      <c r="AG495" s="116"/>
      <c r="AH495" s="1"/>
      <c r="AI495" s="46"/>
      <c r="AJ495" s="46"/>
      <c r="AK495" s="46"/>
      <c r="AL495" s="46"/>
      <c r="AM495" s="46"/>
      <c r="AN495" s="46"/>
      <c r="AO495" s="46"/>
      <c r="AP495" s="46"/>
      <c r="AQ495" s="1"/>
      <c r="AR495" s="15"/>
      <c r="AS495" s="15"/>
      <c r="AT495" s="15"/>
      <c r="AU495" s="15"/>
      <c r="AV495" s="15"/>
      <c r="AW495" s="15"/>
      <c r="AX495" s="15"/>
      <c r="AY495" s="15"/>
      <c r="AZ495" s="15"/>
      <c r="BA495" s="15"/>
      <c r="BB495" s="15"/>
      <c r="BC495" s="15"/>
      <c r="BD495" s="102"/>
      <c r="BE495" s="15"/>
      <c r="BF495" s="15"/>
      <c r="BG495" s="15"/>
      <c r="BH495" s="15"/>
      <c r="BI495" s="15"/>
      <c r="BJ495" s="15"/>
      <c r="BK495" s="15"/>
      <c r="BL495" s="15"/>
      <c r="BM495" s="15"/>
      <c r="BN495" s="15"/>
      <c r="BO495" s="15"/>
      <c r="BP495" s="15"/>
      <c r="BQ495" s="242"/>
      <c r="BR495" s="15"/>
      <c r="BS495" s="15"/>
      <c r="BT495" s="15"/>
      <c r="BU495" s="15"/>
      <c r="BV495" s="15"/>
      <c r="BW495" s="15"/>
      <c r="BX495" s="15"/>
      <c r="BY495" s="15"/>
      <c r="BZ495" s="15"/>
      <c r="CA495" s="15"/>
      <c r="CB495" s="15"/>
      <c r="CC495" s="15"/>
      <c r="CD495" s="15"/>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row>
    <row r="496" spans="1:121" x14ac:dyDescent="0.2">
      <c r="A496" s="855"/>
      <c r="B496" s="855"/>
      <c r="C496" s="855"/>
      <c r="D496" s="1" t="s">
        <v>1950</v>
      </c>
      <c r="E496" s="855"/>
      <c r="F496" s="1"/>
      <c r="G496" s="1"/>
      <c r="H496" s="1"/>
      <c r="I496" s="1"/>
      <c r="J496" s="1"/>
      <c r="K496" s="1"/>
      <c r="L496" s="116"/>
      <c r="M496" s="116"/>
      <c r="N496" s="116"/>
      <c r="O496" s="116"/>
      <c r="P496" s="375"/>
      <c r="Q496" s="116"/>
      <c r="R496" s="116"/>
      <c r="S496" s="116"/>
      <c r="T496" s="116"/>
      <c r="U496" s="116"/>
      <c r="V496" s="116"/>
      <c r="W496" s="116"/>
      <c r="X496" s="116"/>
      <c r="Y496" s="116"/>
      <c r="Z496" s="116"/>
      <c r="AA496" s="116"/>
      <c r="AB496" s="116"/>
      <c r="AC496" s="116"/>
      <c r="AD496" s="116"/>
      <c r="AE496" s="116"/>
      <c r="AF496" s="116"/>
      <c r="AG496" s="116"/>
      <c r="AH496" s="1"/>
      <c r="AI496" s="46"/>
      <c r="AJ496" s="46"/>
      <c r="AK496" s="46"/>
      <c r="AL496" s="46"/>
      <c r="AM496" s="46"/>
      <c r="AN496" s="46"/>
      <c r="AO496" s="46"/>
      <c r="AP496" s="46"/>
      <c r="AQ496" s="1"/>
      <c r="AR496" s="15"/>
      <c r="AS496" s="15"/>
      <c r="AT496" s="15"/>
      <c r="AU496" s="15"/>
      <c r="AV496" s="15"/>
      <c r="AW496" s="15"/>
      <c r="AX496" s="15"/>
      <c r="AY496" s="15"/>
      <c r="AZ496" s="15"/>
      <c r="BA496" s="15"/>
      <c r="BB496" s="15"/>
      <c r="BC496" s="15"/>
      <c r="BD496" s="102"/>
      <c r="BE496" s="15"/>
      <c r="BF496" s="15"/>
      <c r="BG496" s="15"/>
      <c r="BH496" s="15"/>
      <c r="BI496" s="15"/>
      <c r="BJ496" s="15"/>
      <c r="BK496" s="15"/>
      <c r="BL496" s="15"/>
      <c r="BM496" s="15"/>
      <c r="BN496" s="15"/>
      <c r="BO496" s="15"/>
      <c r="BP496" s="15"/>
      <c r="BQ496" s="242"/>
      <c r="BR496" s="15"/>
      <c r="BS496" s="15"/>
      <c r="BT496" s="15"/>
      <c r="BU496" s="15"/>
      <c r="BV496" s="15"/>
      <c r="BW496" s="15"/>
      <c r="BX496" s="15"/>
      <c r="BY496" s="15"/>
      <c r="BZ496" s="15"/>
      <c r="CA496" s="15"/>
      <c r="CB496" s="15"/>
      <c r="CC496" s="15"/>
      <c r="CD496" s="15"/>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row>
    <row r="497" spans="1:121" x14ac:dyDescent="0.2">
      <c r="A497" s="855"/>
      <c r="B497" s="855"/>
      <c r="C497" s="855"/>
      <c r="D497" s="1" t="s">
        <v>1951</v>
      </c>
      <c r="E497" s="855"/>
      <c r="F497" s="1"/>
      <c r="G497" s="1"/>
      <c r="H497" s="1"/>
      <c r="I497" s="1"/>
      <c r="J497" s="1"/>
      <c r="K497" s="1"/>
      <c r="L497" s="116"/>
      <c r="M497" s="116"/>
      <c r="N497" s="116"/>
      <c r="O497" s="116"/>
      <c r="P497" s="375"/>
      <c r="Q497" s="116"/>
      <c r="R497" s="116"/>
      <c r="S497" s="116"/>
      <c r="T497" s="116"/>
      <c r="U497" s="116"/>
      <c r="V497" s="116"/>
      <c r="W497" s="116"/>
      <c r="X497" s="116"/>
      <c r="Y497" s="116"/>
      <c r="Z497" s="116"/>
      <c r="AA497" s="116"/>
      <c r="AB497" s="116"/>
      <c r="AC497" s="116"/>
      <c r="AD497" s="116"/>
      <c r="AE497" s="116"/>
      <c r="AF497" s="116"/>
      <c r="AG497" s="116"/>
      <c r="AH497" s="1"/>
      <c r="AI497" s="46"/>
      <c r="AJ497" s="46"/>
      <c r="AK497" s="46"/>
      <c r="AL497" s="46"/>
      <c r="AM497" s="46"/>
      <c r="AN497" s="46"/>
      <c r="AO497" s="46"/>
      <c r="AP497" s="46"/>
      <c r="AQ497" s="1"/>
      <c r="AR497" s="15"/>
      <c r="AS497" s="15"/>
      <c r="AT497" s="15"/>
      <c r="AU497" s="15"/>
      <c r="AV497" s="15"/>
      <c r="AW497" s="15"/>
      <c r="AX497" s="15"/>
      <c r="AY497" s="15"/>
      <c r="AZ497" s="15"/>
      <c r="BA497" s="15"/>
      <c r="BB497" s="15"/>
      <c r="BC497" s="15"/>
      <c r="BD497" s="102"/>
      <c r="BE497" s="15"/>
      <c r="BF497" s="15"/>
      <c r="BG497" s="15"/>
      <c r="BH497" s="15"/>
      <c r="BI497" s="15"/>
      <c r="BJ497" s="15"/>
      <c r="BK497" s="15"/>
      <c r="BL497" s="15"/>
      <c r="BM497" s="15"/>
      <c r="BN497" s="15"/>
      <c r="BO497" s="15"/>
      <c r="BP497" s="15"/>
      <c r="BQ497" s="242"/>
      <c r="BR497" s="15"/>
      <c r="BS497" s="15"/>
      <c r="BT497" s="15"/>
      <c r="BU497" s="15"/>
      <c r="BV497" s="15"/>
      <c r="BW497" s="15"/>
      <c r="BX497" s="15"/>
      <c r="BY497" s="15"/>
      <c r="BZ497" s="15"/>
      <c r="CA497" s="15"/>
      <c r="CB497" s="15"/>
      <c r="CC497" s="15"/>
      <c r="CD497" s="15"/>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row>
    <row r="498" spans="1:121" x14ac:dyDescent="0.2">
      <c r="A498" s="855"/>
      <c r="B498" s="855"/>
      <c r="C498" s="855"/>
      <c r="D498" s="1" t="s">
        <v>1952</v>
      </c>
      <c r="E498" s="855"/>
      <c r="F498" s="1"/>
      <c r="G498" s="1"/>
      <c r="H498" s="1"/>
      <c r="I498" s="1"/>
      <c r="J498" s="1"/>
      <c r="K498" s="1"/>
      <c r="L498" s="116"/>
      <c r="M498" s="116"/>
      <c r="N498" s="116"/>
      <c r="O498" s="116"/>
      <c r="P498" s="375"/>
      <c r="Q498" s="116"/>
      <c r="R498" s="116"/>
      <c r="S498" s="116"/>
      <c r="T498" s="116"/>
      <c r="U498" s="116"/>
      <c r="V498" s="116"/>
      <c r="W498" s="116"/>
      <c r="X498" s="116"/>
      <c r="Y498" s="116"/>
      <c r="Z498" s="116"/>
      <c r="AA498" s="116"/>
      <c r="AB498" s="116"/>
      <c r="AC498" s="116"/>
      <c r="AD498" s="116"/>
      <c r="AE498" s="116"/>
      <c r="AF498" s="116"/>
      <c r="AG498" s="116"/>
      <c r="AH498" s="1"/>
      <c r="AI498" s="46"/>
      <c r="AJ498" s="46"/>
      <c r="AK498" s="46"/>
      <c r="AL498" s="46"/>
      <c r="AM498" s="46"/>
      <c r="AN498" s="46"/>
      <c r="AO498" s="46"/>
      <c r="AP498" s="46"/>
      <c r="AQ498" s="1"/>
      <c r="AR498" s="15"/>
      <c r="AS498" s="15"/>
      <c r="AT498" s="15"/>
      <c r="AU498" s="15"/>
      <c r="AV498" s="15"/>
      <c r="AW498" s="15"/>
      <c r="AX498" s="15"/>
      <c r="AY498" s="15"/>
      <c r="AZ498" s="15"/>
      <c r="BA498" s="15"/>
      <c r="BB498" s="15"/>
      <c r="BC498" s="15"/>
      <c r="BD498" s="102"/>
      <c r="BE498" s="15"/>
      <c r="BF498" s="15"/>
      <c r="BG498" s="15"/>
      <c r="BH498" s="15"/>
      <c r="BI498" s="15"/>
      <c r="BJ498" s="15"/>
      <c r="BK498" s="15"/>
      <c r="BL498" s="15"/>
      <c r="BM498" s="15"/>
      <c r="BN498" s="15"/>
      <c r="BO498" s="15"/>
      <c r="BP498" s="15"/>
      <c r="BQ498" s="242"/>
      <c r="BR498" s="15"/>
      <c r="BS498" s="15"/>
      <c r="BT498" s="15"/>
      <c r="BU498" s="15"/>
      <c r="BV498" s="15"/>
      <c r="BW498" s="15"/>
      <c r="BX498" s="15"/>
      <c r="BY498" s="15"/>
      <c r="BZ498" s="15"/>
      <c r="CA498" s="15"/>
      <c r="CB498" s="15"/>
      <c r="CC498" s="15"/>
      <c r="CD498" s="15"/>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row>
    <row r="499" spans="1:121" x14ac:dyDescent="0.2">
      <c r="A499" s="855"/>
      <c r="B499" s="855"/>
      <c r="C499" s="855"/>
      <c r="D499" s="1" t="s">
        <v>1953</v>
      </c>
      <c r="E499" s="855"/>
      <c r="F499" s="1"/>
      <c r="G499" s="1"/>
      <c r="H499" s="1"/>
      <c r="I499" s="1"/>
      <c r="J499" s="1"/>
      <c r="K499" s="1"/>
      <c r="L499" s="116"/>
      <c r="M499" s="116"/>
      <c r="N499" s="116"/>
      <c r="O499" s="116"/>
      <c r="P499" s="375"/>
      <c r="Q499" s="116"/>
      <c r="R499" s="116"/>
      <c r="S499" s="116"/>
      <c r="T499" s="116"/>
      <c r="U499" s="116"/>
      <c r="V499" s="116"/>
      <c r="W499" s="116"/>
      <c r="X499" s="116"/>
      <c r="Y499" s="116"/>
      <c r="Z499" s="116"/>
      <c r="AA499" s="116"/>
      <c r="AB499" s="116"/>
      <c r="AC499" s="116"/>
      <c r="AD499" s="116"/>
      <c r="AE499" s="116"/>
      <c r="AF499" s="116"/>
      <c r="AG499" s="116"/>
      <c r="AH499" s="1"/>
      <c r="AI499" s="46"/>
      <c r="AJ499" s="46"/>
      <c r="AK499" s="46"/>
      <c r="AL499" s="46"/>
      <c r="AM499" s="46"/>
      <c r="AN499" s="46"/>
      <c r="AO499" s="46"/>
      <c r="AP499" s="46"/>
      <c r="AQ499" s="1"/>
      <c r="AR499" s="15"/>
      <c r="AS499" s="15"/>
      <c r="AT499" s="15"/>
      <c r="AU499" s="15"/>
      <c r="AV499" s="15"/>
      <c r="AW499" s="15"/>
      <c r="AX499" s="15"/>
      <c r="AY499" s="15"/>
      <c r="AZ499" s="15"/>
      <c r="BA499" s="15"/>
      <c r="BB499" s="15"/>
      <c r="BC499" s="15"/>
      <c r="BD499" s="102"/>
      <c r="BE499" s="15"/>
      <c r="BF499" s="15"/>
      <c r="BG499" s="15"/>
      <c r="BH499" s="15"/>
      <c r="BI499" s="15"/>
      <c r="BJ499" s="15"/>
      <c r="BK499" s="15"/>
      <c r="BL499" s="15"/>
      <c r="BM499" s="15"/>
      <c r="BN499" s="15"/>
      <c r="BO499" s="15"/>
      <c r="BP499" s="15"/>
      <c r="BQ499" s="242"/>
      <c r="BR499" s="15"/>
      <c r="BS499" s="15"/>
      <c r="BT499" s="15"/>
      <c r="BU499" s="15"/>
      <c r="BV499" s="15"/>
      <c r="BW499" s="15"/>
      <c r="BX499" s="15"/>
      <c r="BY499" s="15"/>
      <c r="BZ499" s="15"/>
      <c r="CA499" s="15"/>
      <c r="CB499" s="15"/>
      <c r="CC499" s="15"/>
      <c r="CD499" s="15"/>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row>
    <row r="500" spans="1:121" x14ac:dyDescent="0.2">
      <c r="A500" s="855"/>
      <c r="B500" s="855"/>
      <c r="C500" s="855"/>
      <c r="D500" s="1" t="s">
        <v>1954</v>
      </c>
      <c r="E500" s="855"/>
      <c r="F500" s="1"/>
      <c r="G500" s="1"/>
      <c r="H500" s="1"/>
      <c r="I500" s="1"/>
      <c r="J500" s="1"/>
      <c r="K500" s="1"/>
      <c r="L500" s="116"/>
      <c r="M500" s="116"/>
      <c r="N500" s="116"/>
      <c r="O500" s="116"/>
      <c r="P500" s="375"/>
      <c r="Q500" s="116"/>
      <c r="R500" s="116"/>
      <c r="S500" s="116"/>
      <c r="T500" s="116"/>
      <c r="U500" s="116"/>
      <c r="V500" s="116"/>
      <c r="W500" s="116"/>
      <c r="X500" s="116"/>
      <c r="Y500" s="116"/>
      <c r="Z500" s="116"/>
      <c r="AA500" s="116"/>
      <c r="AB500" s="116"/>
      <c r="AC500" s="116"/>
      <c r="AD500" s="116"/>
      <c r="AE500" s="116"/>
      <c r="AF500" s="116"/>
      <c r="AG500" s="116"/>
      <c r="AH500" s="1"/>
      <c r="AI500" s="46"/>
      <c r="AJ500" s="46"/>
      <c r="AK500" s="46"/>
      <c r="AL500" s="46"/>
      <c r="AM500" s="46"/>
      <c r="AN500" s="46"/>
      <c r="AO500" s="46"/>
      <c r="AP500" s="46"/>
      <c r="AQ500" s="1"/>
      <c r="AR500" s="15"/>
      <c r="AS500" s="15"/>
      <c r="AT500" s="15"/>
      <c r="AU500" s="15"/>
      <c r="AV500" s="15"/>
      <c r="AW500" s="15"/>
      <c r="AX500" s="15"/>
      <c r="AY500" s="15"/>
      <c r="AZ500" s="15"/>
      <c r="BA500" s="15"/>
      <c r="BB500" s="15"/>
      <c r="BC500" s="15"/>
      <c r="BD500" s="102"/>
      <c r="BE500" s="15"/>
      <c r="BF500" s="15"/>
      <c r="BG500" s="15"/>
      <c r="BH500" s="15"/>
      <c r="BI500" s="15"/>
      <c r="BJ500" s="15"/>
      <c r="BK500" s="15"/>
      <c r="BL500" s="15"/>
      <c r="BM500" s="15"/>
      <c r="BN500" s="15"/>
      <c r="BO500" s="15"/>
      <c r="BP500" s="15"/>
      <c r="BQ500" s="242"/>
      <c r="BR500" s="15"/>
      <c r="BS500" s="15"/>
      <c r="BT500" s="15"/>
      <c r="BU500" s="15"/>
      <c r="BV500" s="15"/>
      <c r="BW500" s="15"/>
      <c r="BX500" s="15"/>
      <c r="BY500" s="15"/>
      <c r="BZ500" s="15"/>
      <c r="CA500" s="15"/>
      <c r="CB500" s="15"/>
      <c r="CC500" s="15"/>
      <c r="CD500" s="15"/>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row>
    <row r="501" spans="1:121" x14ac:dyDescent="0.2">
      <c r="A501" s="855"/>
      <c r="B501" s="855"/>
      <c r="C501" s="855"/>
      <c r="D501" s="1" t="s">
        <v>1955</v>
      </c>
      <c r="E501" s="855"/>
      <c r="F501" s="1"/>
      <c r="G501" s="1"/>
      <c r="H501" s="1"/>
      <c r="I501" s="1"/>
      <c r="J501" s="1"/>
      <c r="K501" s="1"/>
      <c r="L501" s="116"/>
      <c r="M501" s="116"/>
      <c r="N501" s="116"/>
      <c r="O501" s="116"/>
      <c r="P501" s="375"/>
      <c r="Q501" s="116"/>
      <c r="R501" s="116"/>
      <c r="S501" s="116"/>
      <c r="T501" s="116"/>
      <c r="U501" s="116"/>
      <c r="V501" s="116"/>
      <c r="W501" s="116"/>
      <c r="X501" s="116"/>
      <c r="Y501" s="116"/>
      <c r="Z501" s="116"/>
      <c r="AA501" s="116"/>
      <c r="AB501" s="116"/>
      <c r="AC501" s="116"/>
      <c r="AD501" s="116"/>
      <c r="AE501" s="116"/>
      <c r="AF501" s="116"/>
      <c r="AG501" s="116"/>
      <c r="AH501" s="1"/>
      <c r="AI501" s="46"/>
      <c r="AJ501" s="46"/>
      <c r="AK501" s="46"/>
      <c r="AL501" s="46"/>
      <c r="AM501" s="46"/>
      <c r="AN501" s="46"/>
      <c r="AO501" s="46"/>
      <c r="AP501" s="46"/>
      <c r="AQ501" s="1"/>
      <c r="AR501" s="15"/>
      <c r="AS501" s="15"/>
      <c r="AT501" s="15"/>
      <c r="AU501" s="15"/>
      <c r="AV501" s="15"/>
      <c r="AW501" s="15"/>
      <c r="AX501" s="15"/>
      <c r="AY501" s="15"/>
      <c r="AZ501" s="15"/>
      <c r="BA501" s="15"/>
      <c r="BB501" s="15"/>
      <c r="BC501" s="15"/>
      <c r="BD501" s="102"/>
      <c r="BE501" s="15"/>
      <c r="BF501" s="15"/>
      <c r="BG501" s="15"/>
      <c r="BH501" s="15"/>
      <c r="BI501" s="15"/>
      <c r="BJ501" s="15"/>
      <c r="BK501" s="15"/>
      <c r="BL501" s="15"/>
      <c r="BM501" s="15"/>
      <c r="BN501" s="15"/>
      <c r="BO501" s="15"/>
      <c r="BP501" s="15"/>
      <c r="BQ501" s="242"/>
      <c r="BR501" s="15"/>
      <c r="BS501" s="15"/>
      <c r="BT501" s="15"/>
      <c r="BU501" s="15"/>
      <c r="BV501" s="15"/>
      <c r="BW501" s="15"/>
      <c r="BX501" s="15"/>
      <c r="BY501" s="15"/>
      <c r="BZ501" s="15"/>
      <c r="CA501" s="15"/>
      <c r="CB501" s="15"/>
      <c r="CC501" s="15"/>
      <c r="CD501" s="15"/>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row>
    <row r="502" spans="1:121" x14ac:dyDescent="0.2">
      <c r="A502" s="855"/>
      <c r="B502" s="855"/>
      <c r="C502" s="855"/>
      <c r="D502" s="1" t="s">
        <v>1956</v>
      </c>
      <c r="E502" s="855"/>
      <c r="F502" s="1"/>
      <c r="G502" s="1"/>
      <c r="H502" s="1"/>
      <c r="I502" s="1"/>
      <c r="J502" s="1"/>
      <c r="K502" s="1"/>
      <c r="L502" s="116"/>
      <c r="M502" s="116"/>
      <c r="N502" s="116"/>
      <c r="O502" s="116"/>
      <c r="P502" s="375"/>
      <c r="Q502" s="116"/>
      <c r="R502" s="116"/>
      <c r="S502" s="116"/>
      <c r="T502" s="116"/>
      <c r="U502" s="116"/>
      <c r="V502" s="116"/>
      <c r="W502" s="116"/>
      <c r="X502" s="116"/>
      <c r="Y502" s="116"/>
      <c r="Z502" s="116"/>
      <c r="AA502" s="116"/>
      <c r="AB502" s="116"/>
      <c r="AC502" s="116"/>
      <c r="AD502" s="116"/>
      <c r="AE502" s="116"/>
      <c r="AF502" s="116"/>
      <c r="AG502" s="116"/>
      <c r="AH502" s="1"/>
      <c r="AI502" s="46"/>
      <c r="AJ502" s="46"/>
      <c r="AK502" s="46"/>
      <c r="AL502" s="46"/>
      <c r="AM502" s="46"/>
      <c r="AN502" s="46"/>
      <c r="AO502" s="46"/>
      <c r="AP502" s="46"/>
      <c r="AQ502" s="1"/>
      <c r="AR502" s="15"/>
      <c r="AS502" s="15"/>
      <c r="AT502" s="15"/>
      <c r="AU502" s="15"/>
      <c r="AV502" s="15"/>
      <c r="AW502" s="15"/>
      <c r="AX502" s="15"/>
      <c r="AY502" s="15"/>
      <c r="AZ502" s="15"/>
      <c r="BA502" s="15"/>
      <c r="BB502" s="15"/>
      <c r="BC502" s="15"/>
      <c r="BD502" s="102"/>
      <c r="BE502" s="15"/>
      <c r="BF502" s="15"/>
      <c r="BG502" s="15"/>
      <c r="BH502" s="15"/>
      <c r="BI502" s="15"/>
      <c r="BJ502" s="15"/>
      <c r="BK502" s="15"/>
      <c r="BL502" s="15"/>
      <c r="BM502" s="15"/>
      <c r="BN502" s="15"/>
      <c r="BO502" s="15"/>
      <c r="BP502" s="15"/>
      <c r="BQ502" s="242"/>
      <c r="BR502" s="15"/>
      <c r="BS502" s="15"/>
      <c r="BT502" s="15"/>
      <c r="BU502" s="15"/>
      <c r="BV502" s="15"/>
      <c r="BW502" s="15"/>
      <c r="BX502" s="15"/>
      <c r="BY502" s="15"/>
      <c r="BZ502" s="15"/>
      <c r="CA502" s="15"/>
      <c r="CB502" s="15"/>
      <c r="CC502" s="15"/>
      <c r="CD502" s="15"/>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row>
    <row r="503" spans="1:121" x14ac:dyDescent="0.2">
      <c r="A503" s="855"/>
      <c r="B503" s="855"/>
      <c r="C503" s="855"/>
      <c r="D503" s="1" t="s">
        <v>1957</v>
      </c>
      <c r="E503" s="855"/>
      <c r="F503" s="1"/>
      <c r="G503" s="1"/>
      <c r="H503" s="1"/>
      <c r="I503" s="1"/>
      <c r="J503" s="1"/>
      <c r="K503" s="1"/>
      <c r="L503" s="116"/>
      <c r="M503" s="116"/>
      <c r="N503" s="116"/>
      <c r="O503" s="116"/>
      <c r="P503" s="375"/>
      <c r="Q503" s="116"/>
      <c r="R503" s="116"/>
      <c r="S503" s="116"/>
      <c r="T503" s="116"/>
      <c r="U503" s="116"/>
      <c r="V503" s="116"/>
      <c r="W503" s="116"/>
      <c r="X503" s="116"/>
      <c r="Y503" s="116"/>
      <c r="Z503" s="116"/>
      <c r="AA503" s="116"/>
      <c r="AB503" s="116"/>
      <c r="AC503" s="116"/>
      <c r="AD503" s="116"/>
      <c r="AE503" s="116"/>
      <c r="AF503" s="116"/>
      <c r="AG503" s="116"/>
      <c r="AH503" s="1"/>
      <c r="AI503" s="46"/>
      <c r="AJ503" s="46"/>
      <c r="AK503" s="46"/>
      <c r="AL503" s="46"/>
      <c r="AM503" s="46"/>
      <c r="AN503" s="46"/>
      <c r="AO503" s="46"/>
      <c r="AP503" s="46"/>
      <c r="AQ503" s="1"/>
      <c r="AR503" s="15"/>
      <c r="AS503" s="15"/>
      <c r="AT503" s="15"/>
      <c r="AU503" s="15"/>
      <c r="AV503" s="15"/>
      <c r="AW503" s="15"/>
      <c r="AX503" s="15"/>
      <c r="AY503" s="15"/>
      <c r="AZ503" s="15"/>
      <c r="BA503" s="15"/>
      <c r="BB503" s="15"/>
      <c r="BC503" s="15"/>
      <c r="BD503" s="102"/>
      <c r="BE503" s="15"/>
      <c r="BF503" s="15"/>
      <c r="BG503" s="15"/>
      <c r="BH503" s="15"/>
      <c r="BI503" s="15"/>
      <c r="BJ503" s="15"/>
      <c r="BK503" s="15"/>
      <c r="BL503" s="15"/>
      <c r="BM503" s="15"/>
      <c r="BN503" s="15"/>
      <c r="BO503" s="15"/>
      <c r="BP503" s="15"/>
      <c r="BQ503" s="242"/>
      <c r="BR503" s="15"/>
      <c r="BS503" s="15"/>
      <c r="BT503" s="15"/>
      <c r="BU503" s="15"/>
      <c r="BV503" s="15"/>
      <c r="BW503" s="15"/>
      <c r="BX503" s="15"/>
      <c r="BY503" s="15"/>
      <c r="BZ503" s="15"/>
      <c r="CA503" s="15"/>
      <c r="CB503" s="15"/>
      <c r="CC503" s="15"/>
      <c r="CD503" s="15"/>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row>
    <row r="504" spans="1:121" x14ac:dyDescent="0.2">
      <c r="A504" s="855"/>
      <c r="B504" s="855"/>
      <c r="C504" s="855"/>
      <c r="D504" s="1" t="s">
        <v>1958</v>
      </c>
      <c r="E504" s="855"/>
      <c r="F504" s="1"/>
      <c r="G504" s="1"/>
      <c r="H504" s="1"/>
      <c r="I504" s="1"/>
      <c r="J504" s="1"/>
      <c r="K504" s="1"/>
      <c r="L504" s="116"/>
      <c r="M504" s="116"/>
      <c r="N504" s="116"/>
      <c r="O504" s="116"/>
      <c r="P504" s="375"/>
      <c r="Q504" s="116"/>
      <c r="R504" s="116"/>
      <c r="S504" s="116"/>
      <c r="T504" s="116"/>
      <c r="U504" s="116"/>
      <c r="V504" s="116"/>
      <c r="W504" s="116"/>
      <c r="X504" s="116"/>
      <c r="Y504" s="116"/>
      <c r="Z504" s="116"/>
      <c r="AA504" s="116"/>
      <c r="AB504" s="116"/>
      <c r="AC504" s="116"/>
      <c r="AD504" s="116"/>
      <c r="AE504" s="116"/>
      <c r="AF504" s="116"/>
      <c r="AG504" s="116"/>
      <c r="AH504" s="1"/>
      <c r="AI504" s="46"/>
      <c r="AJ504" s="46"/>
      <c r="AK504" s="46"/>
      <c r="AL504" s="46"/>
      <c r="AM504" s="46"/>
      <c r="AN504" s="46"/>
      <c r="AO504" s="46"/>
      <c r="AP504" s="46"/>
      <c r="AQ504" s="1"/>
      <c r="AR504" s="15"/>
      <c r="AS504" s="15"/>
      <c r="AT504" s="15"/>
      <c r="AU504" s="15"/>
      <c r="AV504" s="15"/>
      <c r="AW504" s="15"/>
      <c r="AX504" s="15"/>
      <c r="AY504" s="15"/>
      <c r="AZ504" s="15"/>
      <c r="BA504" s="15"/>
      <c r="BB504" s="15"/>
      <c r="BC504" s="15"/>
      <c r="BD504" s="102"/>
      <c r="BE504" s="15"/>
      <c r="BF504" s="15"/>
      <c r="BG504" s="15"/>
      <c r="BH504" s="15"/>
      <c r="BI504" s="15"/>
      <c r="BJ504" s="15"/>
      <c r="BK504" s="15"/>
      <c r="BL504" s="15"/>
      <c r="BM504" s="15"/>
      <c r="BN504" s="15"/>
      <c r="BO504" s="15"/>
      <c r="BP504" s="15"/>
      <c r="BQ504" s="242"/>
      <c r="BR504" s="15"/>
      <c r="BS504" s="15"/>
      <c r="BT504" s="15"/>
      <c r="BU504" s="15"/>
      <c r="BV504" s="15"/>
      <c r="BW504" s="15"/>
      <c r="BX504" s="15"/>
      <c r="BY504" s="15"/>
      <c r="BZ504" s="15"/>
      <c r="CA504" s="15"/>
      <c r="CB504" s="15"/>
      <c r="CC504" s="15"/>
      <c r="CD504" s="15"/>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row>
    <row r="505" spans="1:121" x14ac:dyDescent="0.2">
      <c r="A505" s="855"/>
      <c r="B505" s="855"/>
      <c r="C505" s="855"/>
      <c r="D505" s="1" t="s">
        <v>1959</v>
      </c>
      <c r="E505" s="855"/>
      <c r="F505" s="1"/>
      <c r="G505" s="1"/>
      <c r="H505" s="1"/>
      <c r="I505" s="1"/>
      <c r="J505" s="1"/>
      <c r="K505" s="1"/>
      <c r="L505" s="116"/>
      <c r="M505" s="116"/>
      <c r="N505" s="116"/>
      <c r="O505" s="116"/>
      <c r="P505" s="375"/>
      <c r="Q505" s="116"/>
      <c r="R505" s="116"/>
      <c r="S505" s="116"/>
      <c r="T505" s="116"/>
      <c r="U505" s="116"/>
      <c r="V505" s="116"/>
      <c r="W505" s="116"/>
      <c r="X505" s="116"/>
      <c r="Y505" s="116"/>
      <c r="Z505" s="116"/>
      <c r="AA505" s="116"/>
      <c r="AB505" s="116"/>
      <c r="AC505" s="116"/>
      <c r="AD505" s="116"/>
      <c r="AE505" s="116"/>
      <c r="AF505" s="116"/>
      <c r="AG505" s="116"/>
      <c r="AH505" s="1"/>
      <c r="AI505" s="46"/>
      <c r="AJ505" s="46"/>
      <c r="AK505" s="46"/>
      <c r="AL505" s="46"/>
      <c r="AM505" s="46"/>
      <c r="AN505" s="46"/>
      <c r="AO505" s="46"/>
      <c r="AP505" s="46"/>
      <c r="AQ505" s="1"/>
      <c r="AR505" s="15"/>
      <c r="AS505" s="15"/>
      <c r="AT505" s="15"/>
      <c r="AU505" s="15"/>
      <c r="AV505" s="15"/>
      <c r="AW505" s="15"/>
      <c r="AX505" s="15"/>
      <c r="AY505" s="15"/>
      <c r="AZ505" s="15"/>
      <c r="BA505" s="15"/>
      <c r="BB505" s="15"/>
      <c r="BC505" s="15"/>
      <c r="BD505" s="102"/>
      <c r="BE505" s="15"/>
      <c r="BF505" s="15"/>
      <c r="BG505" s="15"/>
      <c r="BH505" s="15"/>
      <c r="BI505" s="15"/>
      <c r="BJ505" s="15"/>
      <c r="BK505" s="15"/>
      <c r="BL505" s="15"/>
      <c r="BM505" s="15"/>
      <c r="BN505" s="15"/>
      <c r="BO505" s="15"/>
      <c r="BP505" s="15"/>
      <c r="BQ505" s="242"/>
      <c r="BR505" s="15"/>
      <c r="BS505" s="15"/>
      <c r="BT505" s="15"/>
      <c r="BU505" s="15"/>
      <c r="BV505" s="15"/>
      <c r="BW505" s="15"/>
      <c r="BX505" s="15"/>
      <c r="BY505" s="15"/>
      <c r="BZ505" s="15"/>
      <c r="CA505" s="15"/>
      <c r="CB505" s="15"/>
      <c r="CC505" s="15"/>
      <c r="CD505" s="15"/>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row>
    <row r="506" spans="1:121" x14ac:dyDescent="0.2">
      <c r="A506" s="855"/>
      <c r="B506" s="855"/>
      <c r="C506" s="855"/>
      <c r="D506" s="1" t="s">
        <v>1960</v>
      </c>
      <c r="E506" s="855"/>
      <c r="F506" s="1"/>
      <c r="G506" s="1"/>
      <c r="H506" s="1"/>
      <c r="I506" s="1"/>
      <c r="J506" s="1"/>
      <c r="K506" s="1"/>
      <c r="L506" s="116"/>
      <c r="M506" s="116"/>
      <c r="N506" s="116"/>
      <c r="O506" s="116"/>
      <c r="P506" s="375"/>
      <c r="Q506" s="116"/>
      <c r="R506" s="116"/>
      <c r="S506" s="116"/>
      <c r="T506" s="116"/>
      <c r="U506" s="116"/>
      <c r="V506" s="116"/>
      <c r="W506" s="116"/>
      <c r="X506" s="116"/>
      <c r="Y506" s="116"/>
      <c r="Z506" s="116"/>
      <c r="AA506" s="116"/>
      <c r="AB506" s="116"/>
      <c r="AC506" s="116"/>
      <c r="AD506" s="116"/>
      <c r="AE506" s="116"/>
      <c r="AF506" s="116"/>
      <c r="AG506" s="116"/>
      <c r="AH506" s="1"/>
      <c r="AI506" s="46"/>
      <c r="AJ506" s="46"/>
      <c r="AK506" s="46"/>
      <c r="AL506" s="46"/>
      <c r="AM506" s="46"/>
      <c r="AN506" s="46"/>
      <c r="AO506" s="46"/>
      <c r="AP506" s="46"/>
      <c r="AQ506" s="1"/>
      <c r="AR506" s="15"/>
      <c r="AS506" s="15"/>
      <c r="AT506" s="15"/>
      <c r="AU506" s="15"/>
      <c r="AV506" s="15"/>
      <c r="AW506" s="15"/>
      <c r="AX506" s="15"/>
      <c r="AY506" s="15"/>
      <c r="AZ506" s="15"/>
      <c r="BA506" s="15"/>
      <c r="BB506" s="15"/>
      <c r="BC506" s="15"/>
      <c r="BD506" s="102"/>
      <c r="BE506" s="15"/>
      <c r="BF506" s="15"/>
      <c r="BG506" s="15"/>
      <c r="BH506" s="15"/>
      <c r="BI506" s="15"/>
      <c r="BJ506" s="15"/>
      <c r="BK506" s="15"/>
      <c r="BL506" s="15"/>
      <c r="BM506" s="15"/>
      <c r="BN506" s="15"/>
      <c r="BO506" s="15"/>
      <c r="BP506" s="15"/>
      <c r="BQ506" s="242"/>
      <c r="BR506" s="15"/>
      <c r="BS506" s="15"/>
      <c r="BT506" s="15"/>
      <c r="BU506" s="15"/>
      <c r="BV506" s="15"/>
      <c r="BW506" s="15"/>
      <c r="BX506" s="15"/>
      <c r="BY506" s="15"/>
      <c r="BZ506" s="15"/>
      <c r="CA506" s="15"/>
      <c r="CB506" s="15"/>
      <c r="CC506" s="15"/>
      <c r="CD506" s="15"/>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row>
    <row r="507" spans="1:121" x14ac:dyDescent="0.2">
      <c r="A507" s="855"/>
      <c r="B507" s="855"/>
      <c r="C507" s="855"/>
      <c r="D507" s="1" t="s">
        <v>1961</v>
      </c>
      <c r="E507" s="855"/>
      <c r="F507" s="1"/>
      <c r="G507" s="1"/>
      <c r="H507" s="1"/>
      <c r="I507" s="1"/>
      <c r="J507" s="1"/>
      <c r="K507" s="1"/>
      <c r="L507" s="116"/>
      <c r="M507" s="116"/>
      <c r="N507" s="116"/>
      <c r="O507" s="116"/>
      <c r="P507" s="375"/>
      <c r="Q507" s="116"/>
      <c r="R507" s="116"/>
      <c r="S507" s="116"/>
      <c r="T507" s="116"/>
      <c r="U507" s="116"/>
      <c r="V507" s="116"/>
      <c r="W507" s="116"/>
      <c r="X507" s="116"/>
      <c r="Y507" s="116"/>
      <c r="Z507" s="116"/>
      <c r="AA507" s="116"/>
      <c r="AB507" s="116"/>
      <c r="AC507" s="116"/>
      <c r="AD507" s="116"/>
      <c r="AE507" s="116"/>
      <c r="AF507" s="116"/>
      <c r="AG507" s="116"/>
      <c r="AH507" s="1"/>
      <c r="AI507" s="46"/>
      <c r="AJ507" s="46"/>
      <c r="AK507" s="46"/>
      <c r="AL507" s="46"/>
      <c r="AM507" s="46"/>
      <c r="AN507" s="46"/>
      <c r="AO507" s="46"/>
      <c r="AP507" s="46"/>
      <c r="AQ507" s="1"/>
      <c r="AR507" s="15"/>
      <c r="AS507" s="15"/>
      <c r="AT507" s="15"/>
      <c r="AU507" s="15"/>
      <c r="AV507" s="15"/>
      <c r="AW507" s="15"/>
      <c r="AX507" s="15"/>
      <c r="AY507" s="15"/>
      <c r="AZ507" s="15"/>
      <c r="BA507" s="15"/>
      <c r="BB507" s="15"/>
      <c r="BC507" s="15"/>
      <c r="BD507" s="102"/>
      <c r="BE507" s="15"/>
      <c r="BF507" s="15"/>
      <c r="BG507" s="15"/>
      <c r="BH507" s="15"/>
      <c r="BI507" s="15"/>
      <c r="BJ507" s="15"/>
      <c r="BK507" s="15"/>
      <c r="BL507" s="15"/>
      <c r="BM507" s="15"/>
      <c r="BN507" s="15"/>
      <c r="BO507" s="15"/>
      <c r="BP507" s="15"/>
      <c r="BQ507" s="242"/>
      <c r="BR507" s="15"/>
      <c r="BS507" s="15"/>
      <c r="BT507" s="15"/>
      <c r="BU507" s="15"/>
      <c r="BV507" s="15"/>
      <c r="BW507" s="15"/>
      <c r="BX507" s="15"/>
      <c r="BY507" s="15"/>
      <c r="BZ507" s="15"/>
      <c r="CA507" s="15"/>
      <c r="CB507" s="15"/>
      <c r="CC507" s="15"/>
      <c r="CD507" s="15"/>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row>
    <row r="508" spans="1:121" x14ac:dyDescent="0.2">
      <c r="A508" s="855"/>
      <c r="B508" s="855"/>
      <c r="C508" s="855"/>
      <c r="D508" s="1" t="s">
        <v>1962</v>
      </c>
      <c r="E508" s="855"/>
      <c r="F508" s="1"/>
      <c r="G508" s="1"/>
      <c r="H508" s="1"/>
      <c r="I508" s="1"/>
      <c r="J508" s="1"/>
      <c r="K508" s="1"/>
      <c r="L508" s="116"/>
      <c r="M508" s="116"/>
      <c r="N508" s="116"/>
      <c r="O508" s="116"/>
      <c r="P508" s="375"/>
      <c r="Q508" s="116"/>
      <c r="R508" s="116"/>
      <c r="S508" s="116"/>
      <c r="T508" s="116"/>
      <c r="U508" s="116"/>
      <c r="V508" s="116"/>
      <c r="W508" s="116"/>
      <c r="X508" s="116"/>
      <c r="Y508" s="116"/>
      <c r="Z508" s="116"/>
      <c r="AA508" s="116"/>
      <c r="AB508" s="116"/>
      <c r="AC508" s="116"/>
      <c r="AD508" s="116"/>
      <c r="AE508" s="116"/>
      <c r="AF508" s="116"/>
      <c r="AG508" s="116"/>
      <c r="AH508" s="1"/>
      <c r="AI508" s="46"/>
      <c r="AJ508" s="46"/>
      <c r="AK508" s="46"/>
      <c r="AL508" s="46"/>
      <c r="AM508" s="46"/>
      <c r="AN508" s="46"/>
      <c r="AO508" s="46"/>
      <c r="AP508" s="46"/>
      <c r="AQ508" s="1"/>
      <c r="AR508" s="15"/>
      <c r="AS508" s="15"/>
      <c r="AT508" s="15"/>
      <c r="AU508" s="15"/>
      <c r="AV508" s="15"/>
      <c r="AW508" s="15"/>
      <c r="AX508" s="15"/>
      <c r="AY508" s="15"/>
      <c r="AZ508" s="15"/>
      <c r="BA508" s="15"/>
      <c r="BB508" s="15"/>
      <c r="BC508" s="15"/>
      <c r="BD508" s="102"/>
      <c r="BE508" s="15"/>
      <c r="BF508" s="15"/>
      <c r="BG508" s="15"/>
      <c r="BH508" s="15"/>
      <c r="BI508" s="15"/>
      <c r="BJ508" s="15"/>
      <c r="BK508" s="15"/>
      <c r="BL508" s="15"/>
      <c r="BM508" s="15"/>
      <c r="BN508" s="15"/>
      <c r="BO508" s="15"/>
      <c r="BP508" s="15"/>
      <c r="BQ508" s="242"/>
      <c r="BR508" s="15"/>
      <c r="BS508" s="15"/>
      <c r="BT508" s="15"/>
      <c r="BU508" s="15"/>
      <c r="BV508" s="15"/>
      <c r="BW508" s="15"/>
      <c r="BX508" s="15"/>
      <c r="BY508" s="15"/>
      <c r="BZ508" s="15"/>
      <c r="CA508" s="15"/>
      <c r="CB508" s="15"/>
      <c r="CC508" s="15"/>
      <c r="CD508" s="15"/>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row>
    <row r="509" spans="1:121" x14ac:dyDescent="0.2">
      <c r="A509" s="855"/>
      <c r="B509" s="855"/>
      <c r="C509" s="855"/>
      <c r="D509" s="1" t="s">
        <v>1963</v>
      </c>
      <c r="E509" s="855"/>
      <c r="F509" s="1"/>
      <c r="G509" s="1"/>
      <c r="H509" s="1"/>
      <c r="I509" s="1"/>
      <c r="J509" s="1"/>
      <c r="K509" s="1"/>
      <c r="L509" s="116"/>
      <c r="M509" s="116"/>
      <c r="N509" s="116"/>
      <c r="O509" s="116"/>
      <c r="P509" s="375"/>
      <c r="Q509" s="116"/>
      <c r="R509" s="116"/>
      <c r="S509" s="116"/>
      <c r="T509" s="116"/>
      <c r="U509" s="116"/>
      <c r="V509" s="116"/>
      <c r="W509" s="116"/>
      <c r="X509" s="116"/>
      <c r="Y509" s="116"/>
      <c r="Z509" s="116"/>
      <c r="AA509" s="116"/>
      <c r="AB509" s="116"/>
      <c r="AC509" s="116"/>
      <c r="AD509" s="116"/>
      <c r="AE509" s="116"/>
      <c r="AF509" s="116"/>
      <c r="AG509" s="116"/>
      <c r="AH509" s="1"/>
      <c r="AI509" s="46"/>
      <c r="AJ509" s="46"/>
      <c r="AK509" s="46"/>
      <c r="AL509" s="46"/>
      <c r="AM509" s="46"/>
      <c r="AN509" s="46"/>
      <c r="AO509" s="46"/>
      <c r="AP509" s="46"/>
      <c r="AQ509" s="1"/>
      <c r="AR509" s="15"/>
      <c r="AS509" s="15"/>
      <c r="AT509" s="15"/>
      <c r="AU509" s="15"/>
      <c r="AV509" s="15"/>
      <c r="AW509" s="15"/>
      <c r="AX509" s="15"/>
      <c r="AY509" s="15"/>
      <c r="AZ509" s="15"/>
      <c r="BA509" s="15"/>
      <c r="BB509" s="15"/>
      <c r="BC509" s="15"/>
      <c r="BD509" s="102"/>
      <c r="BE509" s="15"/>
      <c r="BF509" s="15"/>
      <c r="BG509" s="15"/>
      <c r="BH509" s="15"/>
      <c r="BI509" s="15"/>
      <c r="BJ509" s="15"/>
      <c r="BK509" s="15"/>
      <c r="BL509" s="15"/>
      <c r="BM509" s="15"/>
      <c r="BN509" s="15"/>
      <c r="BO509" s="15"/>
      <c r="BP509" s="15"/>
      <c r="BQ509" s="242"/>
      <c r="BR509" s="15"/>
      <c r="BS509" s="15"/>
      <c r="BT509" s="15"/>
      <c r="BU509" s="15"/>
      <c r="BV509" s="15"/>
      <c r="BW509" s="15"/>
      <c r="BX509" s="15"/>
      <c r="BY509" s="15"/>
      <c r="BZ509" s="15"/>
      <c r="CA509" s="15"/>
      <c r="CB509" s="15"/>
      <c r="CC509" s="15"/>
      <c r="CD509" s="15"/>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row>
    <row r="510" spans="1:121" x14ac:dyDescent="0.2">
      <c r="A510" s="855"/>
      <c r="B510" s="855"/>
      <c r="C510" s="855"/>
      <c r="D510" s="1" t="s">
        <v>1964</v>
      </c>
      <c r="E510" s="855"/>
      <c r="F510" s="1"/>
      <c r="G510" s="1"/>
      <c r="H510" s="1"/>
      <c r="I510" s="1"/>
      <c r="J510" s="1"/>
      <c r="K510" s="1"/>
      <c r="L510" s="116"/>
      <c r="M510" s="116"/>
      <c r="N510" s="116"/>
      <c r="O510" s="116"/>
      <c r="P510" s="375"/>
      <c r="Q510" s="116"/>
      <c r="R510" s="116"/>
      <c r="S510" s="116"/>
      <c r="T510" s="116"/>
      <c r="U510" s="116"/>
      <c r="V510" s="116"/>
      <c r="W510" s="116"/>
      <c r="X510" s="116"/>
      <c r="Y510" s="116"/>
      <c r="Z510" s="116"/>
      <c r="AA510" s="116"/>
      <c r="AB510" s="116"/>
      <c r="AC510" s="116"/>
      <c r="AD510" s="116"/>
      <c r="AE510" s="116"/>
      <c r="AF510" s="116"/>
      <c r="AG510" s="116"/>
      <c r="AH510" s="1"/>
      <c r="AI510" s="46"/>
      <c r="AJ510" s="46"/>
      <c r="AK510" s="46"/>
      <c r="AL510" s="46"/>
      <c r="AM510" s="46"/>
      <c r="AN510" s="46"/>
      <c r="AO510" s="46"/>
      <c r="AP510" s="46"/>
      <c r="AQ510" s="1"/>
      <c r="AR510" s="15"/>
      <c r="AS510" s="15"/>
      <c r="AT510" s="15"/>
      <c r="AU510" s="15"/>
      <c r="AV510" s="15"/>
      <c r="AW510" s="15"/>
      <c r="AX510" s="15"/>
      <c r="AY510" s="15"/>
      <c r="AZ510" s="15"/>
      <c r="BA510" s="15"/>
      <c r="BB510" s="15"/>
      <c r="BC510" s="15"/>
      <c r="BD510" s="102"/>
      <c r="BE510" s="15"/>
      <c r="BF510" s="15"/>
      <c r="BG510" s="15"/>
      <c r="BH510" s="15"/>
      <c r="BI510" s="15"/>
      <c r="BJ510" s="15"/>
      <c r="BK510" s="15"/>
      <c r="BL510" s="15"/>
      <c r="BM510" s="15"/>
      <c r="BN510" s="15"/>
      <c r="BO510" s="15"/>
      <c r="BP510" s="15"/>
      <c r="BQ510" s="242"/>
      <c r="BR510" s="15"/>
      <c r="BS510" s="15"/>
      <c r="BT510" s="15"/>
      <c r="BU510" s="15"/>
      <c r="BV510" s="15"/>
      <c r="BW510" s="15"/>
      <c r="BX510" s="15"/>
      <c r="BY510" s="15"/>
      <c r="BZ510" s="15"/>
      <c r="CA510" s="15"/>
      <c r="CB510" s="15"/>
      <c r="CC510" s="15"/>
      <c r="CD510" s="15"/>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row>
    <row r="511" spans="1:121" x14ac:dyDescent="0.2">
      <c r="A511" s="855"/>
      <c r="B511" s="855"/>
      <c r="C511" s="855"/>
      <c r="D511" s="1" t="s">
        <v>1965</v>
      </c>
      <c r="E511" s="855"/>
      <c r="F511" s="1"/>
      <c r="G511" s="1"/>
      <c r="H511" s="1"/>
      <c r="I511" s="1"/>
      <c r="J511" s="1"/>
      <c r="K511" s="1"/>
      <c r="L511" s="116"/>
      <c r="M511" s="116"/>
      <c r="N511" s="116"/>
      <c r="O511" s="116"/>
      <c r="P511" s="375"/>
      <c r="Q511" s="116"/>
      <c r="R511" s="116"/>
      <c r="S511" s="116"/>
      <c r="T511" s="116"/>
      <c r="U511" s="116"/>
      <c r="V511" s="116"/>
      <c r="W511" s="116"/>
      <c r="X511" s="116"/>
      <c r="Y511" s="116"/>
      <c r="Z511" s="116"/>
      <c r="AA511" s="116"/>
      <c r="AB511" s="116"/>
      <c r="AC511" s="116"/>
      <c r="AD511" s="116"/>
      <c r="AE511" s="116"/>
      <c r="AF511" s="116"/>
      <c r="AG511" s="116"/>
      <c r="AH511" s="1"/>
      <c r="AI511" s="46"/>
      <c r="AJ511" s="46"/>
      <c r="AK511" s="46"/>
      <c r="AL511" s="46"/>
      <c r="AM511" s="46"/>
      <c r="AN511" s="46"/>
      <c r="AO511" s="46"/>
      <c r="AP511" s="46"/>
      <c r="AQ511" s="1"/>
      <c r="AR511" s="15"/>
      <c r="AS511" s="15"/>
      <c r="AT511" s="15"/>
      <c r="AU511" s="15"/>
      <c r="AV511" s="15"/>
      <c r="AW511" s="15"/>
      <c r="AX511" s="15"/>
      <c r="AY511" s="15"/>
      <c r="AZ511" s="15"/>
      <c r="BA511" s="15"/>
      <c r="BB511" s="15"/>
      <c r="BC511" s="15"/>
      <c r="BD511" s="102"/>
      <c r="BE511" s="15"/>
      <c r="BF511" s="15"/>
      <c r="BG511" s="15"/>
      <c r="BH511" s="15"/>
      <c r="BI511" s="15"/>
      <c r="BJ511" s="15"/>
      <c r="BK511" s="15"/>
      <c r="BL511" s="15"/>
      <c r="BM511" s="15"/>
      <c r="BN511" s="15"/>
      <c r="BO511" s="15"/>
      <c r="BP511" s="15"/>
      <c r="BQ511" s="242"/>
      <c r="BR511" s="15"/>
      <c r="BS511" s="15"/>
      <c r="BT511" s="15"/>
      <c r="BU511" s="15"/>
      <c r="BV511" s="15"/>
      <c r="BW511" s="15"/>
      <c r="BX511" s="15"/>
      <c r="BY511" s="15"/>
      <c r="BZ511" s="15"/>
      <c r="CA511" s="15"/>
      <c r="CB511" s="15"/>
      <c r="CC511" s="15"/>
      <c r="CD511" s="15"/>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row>
    <row r="512" spans="1:121" x14ac:dyDescent="0.2">
      <c r="A512" s="855"/>
      <c r="B512" s="855"/>
      <c r="C512" s="855"/>
      <c r="D512" s="1" t="s">
        <v>1966</v>
      </c>
      <c r="E512" s="855"/>
      <c r="F512" s="1"/>
      <c r="G512" s="1"/>
      <c r="H512" s="1"/>
      <c r="I512" s="1"/>
      <c r="J512" s="1"/>
      <c r="K512" s="1"/>
      <c r="L512" s="116"/>
      <c r="M512" s="116"/>
      <c r="N512" s="116"/>
      <c r="O512" s="116"/>
      <c r="P512" s="375"/>
      <c r="Q512" s="116"/>
      <c r="R512" s="116"/>
      <c r="S512" s="116"/>
      <c r="T512" s="116"/>
      <c r="U512" s="116"/>
      <c r="V512" s="116"/>
      <c r="W512" s="116"/>
      <c r="X512" s="116"/>
      <c r="Y512" s="116"/>
      <c r="Z512" s="116"/>
      <c r="AA512" s="116"/>
      <c r="AB512" s="116"/>
      <c r="AC512" s="116"/>
      <c r="AD512" s="116"/>
      <c r="AE512" s="116"/>
      <c r="AF512" s="116"/>
      <c r="AG512" s="116"/>
      <c r="AH512" s="1"/>
      <c r="AI512" s="46"/>
      <c r="AJ512" s="46"/>
      <c r="AK512" s="46"/>
      <c r="AL512" s="46"/>
      <c r="AM512" s="46"/>
      <c r="AN512" s="46"/>
      <c r="AO512" s="46"/>
      <c r="AP512" s="46"/>
      <c r="AQ512" s="1"/>
      <c r="AR512" s="15"/>
      <c r="AS512" s="15"/>
      <c r="AT512" s="15"/>
      <c r="AU512" s="15"/>
      <c r="AV512" s="15"/>
      <c r="AW512" s="15"/>
      <c r="AX512" s="15"/>
      <c r="AY512" s="15"/>
      <c r="AZ512" s="15"/>
      <c r="BA512" s="15"/>
      <c r="BB512" s="15"/>
      <c r="BC512" s="15"/>
      <c r="BD512" s="102"/>
      <c r="BE512" s="15"/>
      <c r="BF512" s="15"/>
      <c r="BG512" s="15"/>
      <c r="BH512" s="15"/>
      <c r="BI512" s="15"/>
      <c r="BJ512" s="15"/>
      <c r="BK512" s="15"/>
      <c r="BL512" s="15"/>
      <c r="BM512" s="15"/>
      <c r="BN512" s="15"/>
      <c r="BO512" s="15"/>
      <c r="BP512" s="15"/>
      <c r="BQ512" s="242"/>
      <c r="BR512" s="15"/>
      <c r="BS512" s="15"/>
      <c r="BT512" s="15"/>
      <c r="BU512" s="15"/>
      <c r="BV512" s="15"/>
      <c r="BW512" s="15"/>
      <c r="BX512" s="15"/>
      <c r="BY512" s="15"/>
      <c r="BZ512" s="15"/>
      <c r="CA512" s="15"/>
      <c r="CB512" s="15"/>
      <c r="CC512" s="15"/>
      <c r="CD512" s="15"/>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row>
    <row r="513" spans="1:121" x14ac:dyDescent="0.2">
      <c r="A513" s="855"/>
      <c r="B513" s="855"/>
      <c r="C513" s="855"/>
      <c r="D513" s="1" t="s">
        <v>1967</v>
      </c>
      <c r="E513" s="855"/>
      <c r="F513" s="1"/>
      <c r="G513" s="1"/>
      <c r="H513" s="1"/>
      <c r="I513" s="1"/>
      <c r="J513" s="1"/>
      <c r="K513" s="1"/>
      <c r="L513" s="116"/>
      <c r="M513" s="116"/>
      <c r="N513" s="116"/>
      <c r="O513" s="116"/>
      <c r="P513" s="375"/>
      <c r="Q513" s="116"/>
      <c r="R513" s="116"/>
      <c r="S513" s="116"/>
      <c r="T513" s="116"/>
      <c r="U513" s="116"/>
      <c r="V513" s="116"/>
      <c r="W513" s="116"/>
      <c r="X513" s="116"/>
      <c r="Y513" s="116"/>
      <c r="Z513" s="116"/>
      <c r="AA513" s="116"/>
      <c r="AB513" s="116"/>
      <c r="AC513" s="116"/>
      <c r="AD513" s="116"/>
      <c r="AE513" s="116"/>
      <c r="AF513" s="116"/>
      <c r="AG513" s="116"/>
      <c r="AH513" s="1"/>
      <c r="AI513" s="46"/>
      <c r="AJ513" s="46"/>
      <c r="AK513" s="46"/>
      <c r="AL513" s="46"/>
      <c r="AM513" s="46"/>
      <c r="AN513" s="46"/>
      <c r="AO513" s="46"/>
      <c r="AP513" s="46"/>
      <c r="AQ513" s="1"/>
      <c r="AR513" s="15"/>
      <c r="AS513" s="15"/>
      <c r="AT513" s="15"/>
      <c r="AU513" s="15"/>
      <c r="AV513" s="15"/>
      <c r="AW513" s="15"/>
      <c r="AX513" s="15"/>
      <c r="AY513" s="15"/>
      <c r="AZ513" s="15"/>
      <c r="BA513" s="15"/>
      <c r="BB513" s="15"/>
      <c r="BC513" s="15"/>
      <c r="BD513" s="102"/>
      <c r="BE513" s="15"/>
      <c r="BF513" s="15"/>
      <c r="BG513" s="15"/>
      <c r="BH513" s="15"/>
      <c r="BI513" s="15"/>
      <c r="BJ513" s="15"/>
      <c r="BK513" s="15"/>
      <c r="BL513" s="15"/>
      <c r="BM513" s="15"/>
      <c r="BN513" s="15"/>
      <c r="BO513" s="15"/>
      <c r="BP513" s="15"/>
      <c r="BQ513" s="242"/>
      <c r="BR513" s="15"/>
      <c r="BS513" s="15"/>
      <c r="BT513" s="15"/>
      <c r="BU513" s="15"/>
      <c r="BV513" s="15"/>
      <c r="BW513" s="15"/>
      <c r="BX513" s="15"/>
      <c r="BY513" s="15"/>
      <c r="BZ513" s="15"/>
      <c r="CA513" s="15"/>
      <c r="CB513" s="15"/>
      <c r="CC513" s="15"/>
      <c r="CD513" s="15"/>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row>
    <row r="514" spans="1:121" x14ac:dyDescent="0.2">
      <c r="A514" s="855"/>
      <c r="B514" s="855"/>
      <c r="C514" s="855"/>
      <c r="D514" s="1" t="s">
        <v>1968</v>
      </c>
      <c r="E514" s="855"/>
      <c r="F514" s="1"/>
      <c r="G514" s="1"/>
      <c r="H514" s="1"/>
      <c r="I514" s="1"/>
      <c r="J514" s="1"/>
      <c r="K514" s="1"/>
      <c r="L514" s="116"/>
      <c r="M514" s="116"/>
      <c r="N514" s="116"/>
      <c r="O514" s="116"/>
      <c r="P514" s="375"/>
      <c r="Q514" s="116"/>
      <c r="R514" s="116"/>
      <c r="S514" s="116"/>
      <c r="T514" s="116"/>
      <c r="U514" s="116"/>
      <c r="V514" s="116"/>
      <c r="W514" s="116"/>
      <c r="X514" s="116"/>
      <c r="Y514" s="116"/>
      <c r="Z514" s="116"/>
      <c r="AA514" s="116"/>
      <c r="AB514" s="116"/>
      <c r="AC514" s="116"/>
      <c r="AD514" s="116"/>
      <c r="AE514" s="116"/>
      <c r="AF514" s="116"/>
      <c r="AG514" s="116"/>
      <c r="AH514" s="1"/>
      <c r="AI514" s="46"/>
      <c r="AJ514" s="46"/>
      <c r="AK514" s="46"/>
      <c r="AL514" s="46"/>
      <c r="AM514" s="46"/>
      <c r="AN514" s="46"/>
      <c r="AO514" s="46"/>
      <c r="AP514" s="46"/>
      <c r="AQ514" s="1"/>
      <c r="AR514" s="15"/>
      <c r="AS514" s="15"/>
      <c r="AT514" s="15"/>
      <c r="AU514" s="15"/>
      <c r="AV514" s="15"/>
      <c r="AW514" s="15"/>
      <c r="AX514" s="15"/>
      <c r="AY514" s="15"/>
      <c r="AZ514" s="15"/>
      <c r="BA514" s="15"/>
      <c r="BB514" s="15"/>
      <c r="BC514" s="15"/>
      <c r="BD514" s="102"/>
      <c r="BE514" s="15"/>
      <c r="BF514" s="15"/>
      <c r="BG514" s="15"/>
      <c r="BH514" s="15"/>
      <c r="BI514" s="15"/>
      <c r="BJ514" s="15"/>
      <c r="BK514" s="15"/>
      <c r="BL514" s="15"/>
      <c r="BM514" s="15"/>
      <c r="BN514" s="15"/>
      <c r="BO514" s="15"/>
      <c r="BP514" s="15"/>
      <c r="BQ514" s="242"/>
      <c r="BR514" s="15"/>
      <c r="BS514" s="15"/>
      <c r="BT514" s="15"/>
      <c r="BU514" s="15"/>
      <c r="BV514" s="15"/>
      <c r="BW514" s="15"/>
      <c r="BX514" s="15"/>
      <c r="BY514" s="15"/>
      <c r="BZ514" s="15"/>
      <c r="CA514" s="15"/>
      <c r="CB514" s="15"/>
      <c r="CC514" s="15"/>
      <c r="CD514" s="15"/>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row>
    <row r="515" spans="1:121" x14ac:dyDescent="0.2">
      <c r="A515" s="855"/>
      <c r="B515" s="855"/>
      <c r="C515" s="855"/>
      <c r="D515" s="1" t="s">
        <v>1969</v>
      </c>
      <c r="E515" s="855"/>
      <c r="F515" s="1"/>
      <c r="G515" s="1"/>
      <c r="H515" s="1"/>
      <c r="I515" s="1"/>
      <c r="J515" s="1"/>
      <c r="K515" s="1"/>
      <c r="L515" s="116"/>
      <c r="M515" s="116"/>
      <c r="N515" s="116"/>
      <c r="O515" s="116"/>
      <c r="P515" s="375"/>
      <c r="Q515" s="116"/>
      <c r="R515" s="116"/>
      <c r="S515" s="116"/>
      <c r="T515" s="116"/>
      <c r="U515" s="116"/>
      <c r="V515" s="116"/>
      <c r="W515" s="116"/>
      <c r="X515" s="116"/>
      <c r="Y515" s="116"/>
      <c r="Z515" s="116"/>
      <c r="AA515" s="116"/>
      <c r="AB515" s="116"/>
      <c r="AC515" s="116"/>
      <c r="AD515" s="116"/>
      <c r="AE515" s="116"/>
      <c r="AF515" s="116"/>
      <c r="AG515" s="116"/>
      <c r="AH515" s="1"/>
      <c r="AI515" s="46"/>
      <c r="AJ515" s="46"/>
      <c r="AK515" s="46"/>
      <c r="AL515" s="46"/>
      <c r="AM515" s="46"/>
      <c r="AN515" s="46"/>
      <c r="AO515" s="46"/>
      <c r="AP515" s="46"/>
      <c r="AQ515" s="1"/>
      <c r="AR515" s="15"/>
      <c r="AS515" s="15"/>
      <c r="AT515" s="15"/>
      <c r="AU515" s="15"/>
      <c r="AV515" s="15"/>
      <c r="AW515" s="15"/>
      <c r="AX515" s="15"/>
      <c r="AY515" s="15"/>
      <c r="AZ515" s="15"/>
      <c r="BA515" s="15"/>
      <c r="BB515" s="15"/>
      <c r="BC515" s="15"/>
      <c r="BD515" s="102"/>
      <c r="BE515" s="15"/>
      <c r="BF515" s="15"/>
      <c r="BG515" s="15"/>
      <c r="BH515" s="15"/>
      <c r="BI515" s="15"/>
      <c r="BJ515" s="15"/>
      <c r="BK515" s="15"/>
      <c r="BL515" s="15"/>
      <c r="BM515" s="15"/>
      <c r="BN515" s="15"/>
      <c r="BO515" s="15"/>
      <c r="BP515" s="15"/>
      <c r="BQ515" s="242"/>
      <c r="BR515" s="15"/>
      <c r="BS515" s="15"/>
      <c r="BT515" s="15"/>
      <c r="BU515" s="15"/>
      <c r="BV515" s="15"/>
      <c r="BW515" s="15"/>
      <c r="BX515" s="15"/>
      <c r="BY515" s="15"/>
      <c r="BZ515" s="15"/>
      <c r="CA515" s="15"/>
      <c r="CB515" s="15"/>
      <c r="CC515" s="15"/>
      <c r="CD515" s="15"/>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row>
    <row r="516" spans="1:121" x14ac:dyDescent="0.2">
      <c r="A516" s="855"/>
      <c r="B516" s="855"/>
      <c r="C516" s="855"/>
      <c r="D516" s="1" t="s">
        <v>1970</v>
      </c>
      <c r="E516" s="855"/>
      <c r="F516" s="1"/>
      <c r="G516" s="1"/>
      <c r="H516" s="1"/>
      <c r="I516" s="1"/>
      <c r="J516" s="1"/>
      <c r="K516" s="1"/>
      <c r="L516" s="116"/>
      <c r="M516" s="116"/>
      <c r="N516" s="116"/>
      <c r="O516" s="116"/>
      <c r="P516" s="375"/>
      <c r="Q516" s="116"/>
      <c r="R516" s="116"/>
      <c r="S516" s="116"/>
      <c r="T516" s="116"/>
      <c r="U516" s="116"/>
      <c r="V516" s="116"/>
      <c r="W516" s="116"/>
      <c r="X516" s="116"/>
      <c r="Y516" s="116"/>
      <c r="Z516" s="116"/>
      <c r="AA516" s="116"/>
      <c r="AB516" s="116"/>
      <c r="AC516" s="116"/>
      <c r="AD516" s="116"/>
      <c r="AE516" s="116"/>
      <c r="AF516" s="116"/>
      <c r="AG516" s="116"/>
      <c r="AH516" s="1"/>
      <c r="AI516" s="46"/>
      <c r="AJ516" s="46"/>
      <c r="AK516" s="46"/>
      <c r="AL516" s="46"/>
      <c r="AM516" s="46"/>
      <c r="AN516" s="46"/>
      <c r="AO516" s="46"/>
      <c r="AP516" s="46"/>
      <c r="AQ516" s="1"/>
      <c r="AR516" s="15"/>
      <c r="AS516" s="15"/>
      <c r="AT516" s="15"/>
      <c r="AU516" s="15"/>
      <c r="AV516" s="15"/>
      <c r="AW516" s="15"/>
      <c r="AX516" s="15"/>
      <c r="AY516" s="15"/>
      <c r="AZ516" s="15"/>
      <c r="BA516" s="15"/>
      <c r="BB516" s="15"/>
      <c r="BC516" s="15"/>
      <c r="BD516" s="102"/>
      <c r="BE516" s="15"/>
      <c r="BF516" s="15"/>
      <c r="BG516" s="15"/>
      <c r="BH516" s="15"/>
      <c r="BI516" s="15"/>
      <c r="BJ516" s="15"/>
      <c r="BK516" s="15"/>
      <c r="BL516" s="15"/>
      <c r="BM516" s="15"/>
      <c r="BN516" s="15"/>
      <c r="BO516" s="15"/>
      <c r="BP516" s="15"/>
      <c r="BQ516" s="242"/>
      <c r="BR516" s="15"/>
      <c r="BS516" s="15"/>
      <c r="BT516" s="15"/>
      <c r="BU516" s="15"/>
      <c r="BV516" s="15"/>
      <c r="BW516" s="15"/>
      <c r="BX516" s="15"/>
      <c r="BY516" s="15"/>
      <c r="BZ516" s="15"/>
      <c r="CA516" s="15"/>
      <c r="CB516" s="15"/>
      <c r="CC516" s="15"/>
      <c r="CD516" s="15"/>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row>
    <row r="517" spans="1:121" x14ac:dyDescent="0.2">
      <c r="A517" s="855"/>
      <c r="B517" s="855"/>
      <c r="C517" s="855"/>
      <c r="D517" s="1" t="s">
        <v>1971</v>
      </c>
      <c r="E517" s="855"/>
      <c r="F517" s="1"/>
      <c r="G517" s="1"/>
      <c r="H517" s="1"/>
      <c r="I517" s="1"/>
      <c r="J517" s="1"/>
      <c r="K517" s="1"/>
      <c r="L517" s="116"/>
      <c r="M517" s="116"/>
      <c r="N517" s="116"/>
      <c r="O517" s="116"/>
      <c r="P517" s="375"/>
      <c r="Q517" s="116"/>
      <c r="R517" s="116"/>
      <c r="S517" s="116"/>
      <c r="T517" s="116"/>
      <c r="U517" s="116"/>
      <c r="V517" s="116"/>
      <c r="W517" s="116"/>
      <c r="X517" s="116"/>
      <c r="Y517" s="116"/>
      <c r="Z517" s="116"/>
      <c r="AA517" s="116"/>
      <c r="AB517" s="116"/>
      <c r="AC517" s="116"/>
      <c r="AD517" s="116"/>
      <c r="AE517" s="116"/>
      <c r="AF517" s="116"/>
      <c r="AG517" s="116"/>
      <c r="AH517" s="1"/>
      <c r="AI517" s="46"/>
      <c r="AJ517" s="46"/>
      <c r="AK517" s="46"/>
      <c r="AL517" s="46"/>
      <c r="AM517" s="46"/>
      <c r="AN517" s="46"/>
      <c r="AO517" s="46"/>
      <c r="AP517" s="46"/>
      <c r="AQ517" s="1"/>
      <c r="AR517" s="15"/>
      <c r="AS517" s="15"/>
      <c r="AT517" s="15"/>
      <c r="AU517" s="15"/>
      <c r="AV517" s="15"/>
      <c r="AW517" s="15"/>
      <c r="AX517" s="15"/>
      <c r="AY517" s="15"/>
      <c r="AZ517" s="15"/>
      <c r="BA517" s="15"/>
      <c r="BB517" s="15"/>
      <c r="BC517" s="15"/>
      <c r="BD517" s="102"/>
      <c r="BE517" s="15"/>
      <c r="BF517" s="15"/>
      <c r="BG517" s="15"/>
      <c r="BH517" s="15"/>
      <c r="BI517" s="15"/>
      <c r="BJ517" s="15"/>
      <c r="BK517" s="15"/>
      <c r="BL517" s="15"/>
      <c r="BM517" s="15"/>
      <c r="BN517" s="15"/>
      <c r="BO517" s="15"/>
      <c r="BP517" s="15"/>
      <c r="BQ517" s="242"/>
      <c r="BR517" s="15"/>
      <c r="BS517" s="15"/>
      <c r="BT517" s="15"/>
      <c r="BU517" s="15"/>
      <c r="BV517" s="15"/>
      <c r="BW517" s="15"/>
      <c r="BX517" s="15"/>
      <c r="BY517" s="15"/>
      <c r="BZ517" s="15"/>
      <c r="CA517" s="15"/>
      <c r="CB517" s="15"/>
      <c r="CC517" s="15"/>
      <c r="CD517" s="15"/>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row>
    <row r="518" spans="1:121" x14ac:dyDescent="0.2">
      <c r="A518" s="855"/>
      <c r="B518" s="855"/>
      <c r="C518" s="855"/>
      <c r="D518" s="1" t="s">
        <v>1972</v>
      </c>
      <c r="E518" s="855"/>
      <c r="F518" s="1"/>
      <c r="G518" s="1"/>
      <c r="H518" s="1"/>
      <c r="I518" s="1"/>
      <c r="J518" s="1"/>
      <c r="K518" s="1"/>
      <c r="L518" s="116"/>
      <c r="M518" s="116"/>
      <c r="N518" s="116"/>
      <c r="O518" s="116"/>
      <c r="P518" s="375"/>
      <c r="Q518" s="116"/>
      <c r="R518" s="116"/>
      <c r="S518" s="116"/>
      <c r="T518" s="116"/>
      <c r="U518" s="116"/>
      <c r="V518" s="116"/>
      <c r="W518" s="116"/>
      <c r="X518" s="116"/>
      <c r="Y518" s="116"/>
      <c r="Z518" s="116"/>
      <c r="AA518" s="116"/>
      <c r="AB518" s="116"/>
      <c r="AC518" s="116"/>
      <c r="AD518" s="116"/>
      <c r="AE518" s="116"/>
      <c r="AF518" s="116"/>
      <c r="AG518" s="116"/>
      <c r="AH518" s="1"/>
      <c r="AI518" s="46"/>
      <c r="AJ518" s="46"/>
      <c r="AK518" s="46"/>
      <c r="AL518" s="46"/>
      <c r="AM518" s="46"/>
      <c r="AN518" s="46"/>
      <c r="AO518" s="46"/>
      <c r="AP518" s="46"/>
      <c r="AQ518" s="1"/>
      <c r="AR518" s="15"/>
      <c r="AS518" s="15"/>
      <c r="AT518" s="15"/>
      <c r="AU518" s="15"/>
      <c r="AV518" s="15"/>
      <c r="AW518" s="15"/>
      <c r="AX518" s="15"/>
      <c r="AY518" s="15"/>
      <c r="AZ518" s="15"/>
      <c r="BA518" s="15"/>
      <c r="BB518" s="15"/>
      <c r="BC518" s="15"/>
      <c r="BD518" s="102"/>
      <c r="BE518" s="15"/>
      <c r="BF518" s="15"/>
      <c r="BG518" s="15"/>
      <c r="BH518" s="15"/>
      <c r="BI518" s="15"/>
      <c r="BJ518" s="15"/>
      <c r="BK518" s="15"/>
      <c r="BL518" s="15"/>
      <c r="BM518" s="15"/>
      <c r="BN518" s="15"/>
      <c r="BO518" s="15"/>
      <c r="BP518" s="15"/>
      <c r="BQ518" s="242"/>
      <c r="BR518" s="15"/>
      <c r="BS518" s="15"/>
      <c r="BT518" s="15"/>
      <c r="BU518" s="15"/>
      <c r="BV518" s="15"/>
      <c r="BW518" s="15"/>
      <c r="BX518" s="15"/>
      <c r="BY518" s="15"/>
      <c r="BZ518" s="15"/>
      <c r="CA518" s="15"/>
      <c r="CB518" s="15"/>
      <c r="CC518" s="15"/>
      <c r="CD518" s="15"/>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row>
    <row r="519" spans="1:121" x14ac:dyDescent="0.2">
      <c r="A519" s="856"/>
      <c r="B519" s="856"/>
      <c r="C519" s="856"/>
      <c r="D519" s="1" t="s">
        <v>1973</v>
      </c>
      <c r="E519" s="856"/>
      <c r="F519" s="1"/>
      <c r="G519" s="1"/>
      <c r="H519" s="1"/>
      <c r="I519" s="1"/>
      <c r="J519" s="1"/>
      <c r="K519" s="1"/>
      <c r="L519" s="116"/>
      <c r="M519" s="116"/>
      <c r="N519" s="116"/>
      <c r="O519" s="116"/>
      <c r="P519" s="375"/>
      <c r="Q519" s="116"/>
      <c r="R519" s="116"/>
      <c r="S519" s="116"/>
      <c r="T519" s="116"/>
      <c r="U519" s="116"/>
      <c r="V519" s="116"/>
      <c r="W519" s="116"/>
      <c r="X519" s="116"/>
      <c r="Y519" s="116"/>
      <c r="Z519" s="116"/>
      <c r="AA519" s="116"/>
      <c r="AB519" s="116"/>
      <c r="AC519" s="116"/>
      <c r="AD519" s="116"/>
      <c r="AE519" s="116"/>
      <c r="AF519" s="116"/>
      <c r="AG519" s="116"/>
      <c r="AH519" s="1"/>
      <c r="AI519" s="46"/>
      <c r="AJ519" s="46"/>
      <c r="AK519" s="46"/>
      <c r="AL519" s="46"/>
      <c r="AM519" s="46"/>
      <c r="AN519" s="46"/>
      <c r="AO519" s="46"/>
      <c r="AP519" s="46"/>
      <c r="AQ519" s="1"/>
      <c r="AR519" s="15"/>
      <c r="AS519" s="15"/>
      <c r="AT519" s="15"/>
      <c r="AU519" s="15"/>
      <c r="AV519" s="15"/>
      <c r="AW519" s="15"/>
      <c r="AX519" s="15"/>
      <c r="AY519" s="15"/>
      <c r="AZ519" s="15"/>
      <c r="BA519" s="15"/>
      <c r="BB519" s="15"/>
      <c r="BC519" s="15"/>
      <c r="BD519" s="102"/>
      <c r="BE519" s="15"/>
      <c r="BF519" s="15"/>
      <c r="BG519" s="15"/>
      <c r="BH519" s="15"/>
      <c r="BI519" s="15"/>
      <c r="BJ519" s="15"/>
      <c r="BK519" s="15"/>
      <c r="BL519" s="15"/>
      <c r="BM519" s="15"/>
      <c r="BN519" s="15"/>
      <c r="BO519" s="15"/>
      <c r="BP519" s="15"/>
      <c r="BQ519" s="242"/>
      <c r="BR519" s="15"/>
      <c r="BS519" s="15"/>
      <c r="BT519" s="15"/>
      <c r="BU519" s="15"/>
      <c r="BV519" s="15"/>
      <c r="BW519" s="15"/>
      <c r="BX519" s="15"/>
      <c r="BY519" s="15"/>
      <c r="BZ519" s="15"/>
      <c r="CA519" s="15"/>
      <c r="CB519" s="15"/>
      <c r="CC519" s="15"/>
      <c r="CD519" s="15"/>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row>
    <row r="520" spans="1:121" x14ac:dyDescent="0.2">
      <c r="A520" s="775" t="s">
        <v>2069</v>
      </c>
      <c r="B520" s="775" t="s">
        <v>107</v>
      </c>
      <c r="C520" s="775" t="s">
        <v>498</v>
      </c>
      <c r="D520" s="1" t="s">
        <v>2061</v>
      </c>
      <c r="E520" s="1"/>
      <c r="F520" s="1"/>
      <c r="G520" s="1" t="s">
        <v>49</v>
      </c>
      <c r="H520" s="1"/>
      <c r="I520" s="1"/>
      <c r="J520" s="1"/>
      <c r="K520" s="1"/>
      <c r="L520" s="116"/>
      <c r="M520" s="116"/>
      <c r="N520" s="116"/>
      <c r="O520" s="116"/>
      <c r="P520" s="375"/>
      <c r="Q520" s="116"/>
      <c r="R520" s="116"/>
      <c r="S520" s="116"/>
      <c r="T520" s="116"/>
      <c r="U520" s="116"/>
      <c r="V520" s="116"/>
      <c r="W520" s="116"/>
      <c r="X520" s="116"/>
      <c r="Y520" s="116"/>
      <c r="Z520" s="116"/>
      <c r="AA520" s="116"/>
      <c r="AB520" s="116"/>
      <c r="AC520" s="116"/>
      <c r="AD520" s="116"/>
      <c r="AE520" s="116"/>
      <c r="AF520" s="116"/>
      <c r="AG520" s="116"/>
      <c r="AH520" s="1"/>
      <c r="AI520" s="46"/>
      <c r="AJ520" s="46"/>
      <c r="AK520" s="46"/>
      <c r="AL520" s="46"/>
      <c r="AM520" s="46"/>
      <c r="AN520" s="46"/>
      <c r="AO520" s="46"/>
      <c r="AP520" s="46"/>
      <c r="AQ520" s="1"/>
      <c r="AR520" s="15"/>
      <c r="AS520" s="15"/>
      <c r="AT520" s="15"/>
      <c r="AU520" s="15"/>
      <c r="AV520" s="15"/>
      <c r="AW520" s="15"/>
      <c r="AX520" s="15"/>
      <c r="AY520" s="15"/>
      <c r="AZ520" s="15"/>
      <c r="BA520" s="15"/>
      <c r="BB520" s="15"/>
      <c r="BC520" s="15"/>
      <c r="BD520" s="102"/>
      <c r="BE520" s="15"/>
      <c r="BF520" s="15"/>
      <c r="BG520" s="15"/>
      <c r="BH520" s="15"/>
      <c r="BI520" s="15"/>
      <c r="BJ520" s="15"/>
      <c r="BK520" s="15"/>
      <c r="BL520" s="15"/>
      <c r="BM520" s="15"/>
      <c r="BN520" s="15"/>
      <c r="BO520" s="15"/>
      <c r="BP520" s="15"/>
      <c r="BQ520" s="242"/>
      <c r="BR520" s="15"/>
      <c r="BS520" s="15"/>
      <c r="BT520" s="15"/>
      <c r="BU520" s="15"/>
      <c r="BV520" s="15"/>
      <c r="BW520" s="15"/>
      <c r="BX520" s="15"/>
      <c r="BY520" s="15"/>
      <c r="BZ520" s="15"/>
      <c r="CA520" s="15"/>
      <c r="CB520" s="15"/>
      <c r="CC520" s="15"/>
      <c r="CD520" s="15"/>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row>
    <row r="521" spans="1:121" x14ac:dyDescent="0.2">
      <c r="A521" s="775"/>
      <c r="B521" s="775"/>
      <c r="C521" s="775"/>
      <c r="D521" s="1" t="s">
        <v>1503</v>
      </c>
      <c r="E521" s="1"/>
      <c r="F521" s="1"/>
      <c r="G521" s="1"/>
      <c r="H521" s="1"/>
      <c r="I521" s="1"/>
      <c r="J521" s="1"/>
      <c r="K521" s="1"/>
      <c r="L521" s="116"/>
      <c r="M521" s="116"/>
      <c r="N521" s="116"/>
      <c r="O521" s="116"/>
      <c r="P521" s="375"/>
      <c r="Q521" s="116"/>
      <c r="R521" s="116"/>
      <c r="S521" s="116"/>
      <c r="T521" s="116"/>
      <c r="U521" s="116"/>
      <c r="V521" s="116"/>
      <c r="W521" s="116"/>
      <c r="X521" s="116"/>
      <c r="Y521" s="116"/>
      <c r="Z521" s="116"/>
      <c r="AA521" s="116"/>
      <c r="AB521" s="116"/>
      <c r="AC521" s="116"/>
      <c r="AD521" s="116"/>
      <c r="AE521" s="116"/>
      <c r="AF521" s="116"/>
      <c r="AG521" s="116"/>
      <c r="AH521" s="1"/>
      <c r="AI521" s="46"/>
      <c r="AJ521" s="46"/>
      <c r="AK521" s="46"/>
      <c r="AL521" s="46"/>
      <c r="AM521" s="46"/>
      <c r="AN521" s="46"/>
      <c r="AO521" s="46"/>
      <c r="AP521" s="46"/>
      <c r="AQ521" s="1"/>
      <c r="AR521" s="15"/>
      <c r="AS521" s="15"/>
      <c r="AT521" s="15"/>
      <c r="AU521" s="15"/>
      <c r="AV521" s="15"/>
      <c r="AW521" s="15"/>
      <c r="AX521" s="15"/>
      <c r="AY521" s="15"/>
      <c r="AZ521" s="15"/>
      <c r="BA521" s="15"/>
      <c r="BB521" s="15"/>
      <c r="BC521" s="15"/>
      <c r="BD521" s="102"/>
      <c r="BE521" s="15"/>
      <c r="BF521" s="15"/>
      <c r="BG521" s="15"/>
      <c r="BH521" s="15"/>
      <c r="BI521" s="15"/>
      <c r="BJ521" s="15"/>
      <c r="BK521" s="15"/>
      <c r="BL521" s="15"/>
      <c r="BM521" s="15"/>
      <c r="BN521" s="15"/>
      <c r="BO521" s="15"/>
      <c r="BP521" s="15"/>
      <c r="BQ521" s="242"/>
      <c r="BR521" s="15"/>
      <c r="BS521" s="15"/>
      <c r="BT521" s="15"/>
      <c r="BU521" s="15"/>
      <c r="BV521" s="15"/>
      <c r="BW521" s="15"/>
      <c r="BX521" s="15"/>
      <c r="BY521" s="15"/>
      <c r="BZ521" s="15"/>
      <c r="CA521" s="15"/>
      <c r="CB521" s="15"/>
      <c r="CC521" s="15"/>
      <c r="CD521" s="15"/>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row>
    <row r="522" spans="1:121" x14ac:dyDescent="0.2">
      <c r="A522" s="775"/>
      <c r="B522" s="775"/>
      <c r="C522" s="775"/>
      <c r="D522" s="1" t="s">
        <v>2062</v>
      </c>
      <c r="E522" s="1"/>
      <c r="F522" s="1"/>
      <c r="G522" s="1"/>
      <c r="H522" s="1"/>
      <c r="I522" s="1"/>
      <c r="J522" s="1"/>
      <c r="K522" s="1"/>
      <c r="L522" s="116"/>
      <c r="M522" s="116"/>
      <c r="N522" s="116"/>
      <c r="O522" s="116"/>
      <c r="P522" s="375"/>
      <c r="Q522" s="116"/>
      <c r="R522" s="116"/>
      <c r="S522" s="116"/>
      <c r="T522" s="116"/>
      <c r="U522" s="116"/>
      <c r="V522" s="116"/>
      <c r="W522" s="116"/>
      <c r="X522" s="116"/>
      <c r="Y522" s="116"/>
      <c r="Z522" s="116"/>
      <c r="AA522" s="116"/>
      <c r="AB522" s="116"/>
      <c r="AC522" s="116"/>
      <c r="AD522" s="116"/>
      <c r="AE522" s="116"/>
      <c r="AF522" s="116"/>
      <c r="AG522" s="116"/>
      <c r="AH522" s="1"/>
      <c r="AI522" s="46"/>
      <c r="AJ522" s="46"/>
      <c r="AK522" s="46"/>
      <c r="AL522" s="46"/>
      <c r="AM522" s="46"/>
      <c r="AN522" s="46"/>
      <c r="AO522" s="46"/>
      <c r="AP522" s="46"/>
      <c r="AQ522" s="1"/>
      <c r="AR522" s="15"/>
      <c r="AS522" s="15"/>
      <c r="AT522" s="15"/>
      <c r="AU522" s="15"/>
      <c r="AV522" s="15"/>
      <c r="AW522" s="15"/>
      <c r="AX522" s="15"/>
      <c r="AY522" s="15"/>
      <c r="AZ522" s="15"/>
      <c r="BA522" s="15"/>
      <c r="BB522" s="15"/>
      <c r="BC522" s="15"/>
      <c r="BD522" s="102"/>
      <c r="BE522" s="15"/>
      <c r="BF522" s="15"/>
      <c r="BG522" s="15"/>
      <c r="BH522" s="15"/>
      <c r="BI522" s="15"/>
      <c r="BJ522" s="15"/>
      <c r="BK522" s="15"/>
      <c r="BL522" s="15"/>
      <c r="BM522" s="15"/>
      <c r="BN522" s="15"/>
      <c r="BO522" s="15"/>
      <c r="BP522" s="15"/>
      <c r="BQ522" s="242"/>
      <c r="BR522" s="15"/>
      <c r="BS522" s="15"/>
      <c r="BT522" s="15"/>
      <c r="BU522" s="15"/>
      <c r="BV522" s="15"/>
      <c r="BW522" s="15"/>
      <c r="BX522" s="15"/>
      <c r="BY522" s="15"/>
      <c r="BZ522" s="15"/>
      <c r="CA522" s="15"/>
      <c r="CB522" s="15"/>
      <c r="CC522" s="15"/>
      <c r="CD522" s="15"/>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row>
    <row r="523" spans="1:121" x14ac:dyDescent="0.2">
      <c r="A523" s="775"/>
      <c r="B523" s="775"/>
      <c r="C523" s="775"/>
      <c r="D523" s="1" t="s">
        <v>617</v>
      </c>
      <c r="E523" s="1"/>
      <c r="F523" s="1"/>
      <c r="G523" s="1"/>
      <c r="H523" s="1"/>
      <c r="I523" s="1"/>
      <c r="J523" s="1"/>
      <c r="K523" s="1"/>
      <c r="L523" s="116"/>
      <c r="M523" s="116"/>
      <c r="N523" s="116"/>
      <c r="O523" s="116"/>
      <c r="P523" s="375"/>
      <c r="Q523" s="116"/>
      <c r="R523" s="116"/>
      <c r="S523" s="116"/>
      <c r="T523" s="116"/>
      <c r="U523" s="116"/>
      <c r="V523" s="116"/>
      <c r="W523" s="116"/>
      <c r="X523" s="116"/>
      <c r="Y523" s="116"/>
      <c r="Z523" s="116"/>
      <c r="AA523" s="116"/>
      <c r="AB523" s="116"/>
      <c r="AC523" s="116"/>
      <c r="AD523" s="116"/>
      <c r="AE523" s="116"/>
      <c r="AF523" s="116"/>
      <c r="AG523" s="116"/>
      <c r="AH523" s="1"/>
      <c r="AI523" s="46"/>
      <c r="AJ523" s="46"/>
      <c r="AK523" s="46"/>
      <c r="AL523" s="46"/>
      <c r="AM523" s="46"/>
      <c r="AN523" s="46"/>
      <c r="AO523" s="46"/>
      <c r="AP523" s="46"/>
      <c r="AQ523" s="1"/>
      <c r="AR523" s="15"/>
      <c r="AS523" s="15"/>
      <c r="AT523" s="15"/>
      <c r="AU523" s="15"/>
      <c r="AV523" s="15"/>
      <c r="AW523" s="15"/>
      <c r="AX523" s="15"/>
      <c r="AY523" s="15"/>
      <c r="AZ523" s="15"/>
      <c r="BA523" s="15"/>
      <c r="BB523" s="15"/>
      <c r="BC523" s="15"/>
      <c r="BD523" s="102"/>
      <c r="BE523" s="15"/>
      <c r="BF523" s="15"/>
      <c r="BG523" s="15"/>
      <c r="BH523" s="15"/>
      <c r="BI523" s="15"/>
      <c r="BJ523" s="15"/>
      <c r="BK523" s="15"/>
      <c r="BL523" s="15"/>
      <c r="BM523" s="15"/>
      <c r="BN523" s="15"/>
      <c r="BO523" s="15"/>
      <c r="BP523" s="15"/>
      <c r="BQ523" s="242"/>
      <c r="BR523" s="15"/>
      <c r="BS523" s="15"/>
      <c r="BT523" s="15"/>
      <c r="BU523" s="15"/>
      <c r="BV523" s="15"/>
      <c r="BW523" s="15"/>
      <c r="BX523" s="15"/>
      <c r="BY523" s="15"/>
      <c r="BZ523" s="15"/>
      <c r="CA523" s="15"/>
      <c r="CB523" s="15"/>
      <c r="CC523" s="15"/>
      <c r="CD523" s="15"/>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row>
    <row r="524" spans="1:121" x14ac:dyDescent="0.2">
      <c r="A524" s="775"/>
      <c r="B524" s="775"/>
      <c r="C524" s="775"/>
      <c r="D524" s="1" t="s">
        <v>2063</v>
      </c>
      <c r="E524" s="1"/>
      <c r="F524" s="1"/>
      <c r="G524" s="1"/>
      <c r="H524" s="1"/>
      <c r="I524" s="1"/>
      <c r="J524" s="1"/>
      <c r="K524" s="1"/>
      <c r="L524" s="116"/>
      <c r="M524" s="116"/>
      <c r="N524" s="116"/>
      <c r="O524" s="116"/>
      <c r="P524" s="375"/>
      <c r="Q524" s="116"/>
      <c r="R524" s="116"/>
      <c r="S524" s="116"/>
      <c r="T524" s="116"/>
      <c r="U524" s="116"/>
      <c r="V524" s="116"/>
      <c r="W524" s="116"/>
      <c r="X524" s="116"/>
      <c r="Y524" s="116"/>
      <c r="Z524" s="116"/>
      <c r="AA524" s="116"/>
      <c r="AB524" s="116"/>
      <c r="AC524" s="116"/>
      <c r="AD524" s="116"/>
      <c r="AE524" s="116"/>
      <c r="AF524" s="116"/>
      <c r="AG524" s="116"/>
      <c r="AH524" s="1"/>
      <c r="AI524" s="46"/>
      <c r="AJ524" s="46"/>
      <c r="AK524" s="46"/>
      <c r="AL524" s="46"/>
      <c r="AM524" s="46"/>
      <c r="AN524" s="46"/>
      <c r="AO524" s="46"/>
      <c r="AP524" s="46"/>
      <c r="AQ524" s="1"/>
      <c r="AR524" s="15"/>
      <c r="AS524" s="15"/>
      <c r="AT524" s="15"/>
      <c r="AU524" s="15"/>
      <c r="AV524" s="15"/>
      <c r="AW524" s="15"/>
      <c r="AX524" s="15"/>
      <c r="AY524" s="15"/>
      <c r="AZ524" s="15"/>
      <c r="BA524" s="15"/>
      <c r="BB524" s="15"/>
      <c r="BC524" s="15"/>
      <c r="BD524" s="102"/>
      <c r="BE524" s="15"/>
      <c r="BF524" s="15"/>
      <c r="BG524" s="15"/>
      <c r="BH524" s="15"/>
      <c r="BI524" s="15"/>
      <c r="BJ524" s="15"/>
      <c r="BK524" s="15"/>
      <c r="BL524" s="15"/>
      <c r="BM524" s="15"/>
      <c r="BN524" s="15"/>
      <c r="BO524" s="15"/>
      <c r="BP524" s="15"/>
      <c r="BQ524" s="242"/>
      <c r="BR524" s="15"/>
      <c r="BS524" s="15"/>
      <c r="BT524" s="15"/>
      <c r="BU524" s="15"/>
      <c r="BV524" s="15"/>
      <c r="BW524" s="15"/>
      <c r="BX524" s="15"/>
      <c r="BY524" s="15"/>
      <c r="BZ524" s="15"/>
      <c r="CA524" s="15"/>
      <c r="CB524" s="15"/>
      <c r="CC524" s="15"/>
      <c r="CD524" s="15"/>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row>
    <row r="525" spans="1:121" x14ac:dyDescent="0.2">
      <c r="A525" s="775"/>
      <c r="B525" s="775"/>
      <c r="C525" s="775"/>
      <c r="D525" s="1" t="s">
        <v>1497</v>
      </c>
      <c r="E525" s="1"/>
      <c r="F525" s="1"/>
      <c r="G525" s="1"/>
      <c r="H525" s="1"/>
      <c r="I525" s="1"/>
      <c r="J525" s="1"/>
      <c r="K525" s="1"/>
      <c r="L525" s="116"/>
      <c r="M525" s="116"/>
      <c r="N525" s="116"/>
      <c r="O525" s="116"/>
      <c r="P525" s="375"/>
      <c r="Q525" s="116"/>
      <c r="R525" s="116"/>
      <c r="S525" s="116"/>
      <c r="T525" s="116"/>
      <c r="U525" s="116"/>
      <c r="V525" s="116"/>
      <c r="W525" s="116"/>
      <c r="X525" s="116"/>
      <c r="Y525" s="116"/>
      <c r="Z525" s="116"/>
      <c r="AA525" s="116"/>
      <c r="AB525" s="116"/>
      <c r="AC525" s="116"/>
      <c r="AD525" s="116"/>
      <c r="AE525" s="116"/>
      <c r="AF525" s="116"/>
      <c r="AG525" s="116"/>
      <c r="AH525" s="1"/>
      <c r="AI525" s="46"/>
      <c r="AJ525" s="46"/>
      <c r="AK525" s="46"/>
      <c r="AL525" s="46"/>
      <c r="AM525" s="46"/>
      <c r="AN525" s="46"/>
      <c r="AO525" s="46"/>
      <c r="AP525" s="46"/>
      <c r="AQ525" s="1"/>
      <c r="AR525" s="15"/>
      <c r="AS525" s="15"/>
      <c r="AT525" s="15"/>
      <c r="AU525" s="15"/>
      <c r="AV525" s="15"/>
      <c r="AW525" s="15"/>
      <c r="AX525" s="15"/>
      <c r="AY525" s="15"/>
      <c r="AZ525" s="15"/>
      <c r="BA525" s="15"/>
      <c r="BB525" s="15"/>
      <c r="BC525" s="15"/>
      <c r="BD525" s="102"/>
      <c r="BE525" s="15"/>
      <c r="BF525" s="15"/>
      <c r="BG525" s="15"/>
      <c r="BH525" s="15"/>
      <c r="BI525" s="15"/>
      <c r="BJ525" s="15"/>
      <c r="BK525" s="15"/>
      <c r="BL525" s="15"/>
      <c r="BM525" s="15"/>
      <c r="BN525" s="15"/>
      <c r="BO525" s="15"/>
      <c r="BP525" s="15"/>
      <c r="BQ525" s="242"/>
      <c r="BR525" s="15"/>
      <c r="BS525" s="15"/>
      <c r="BT525" s="15"/>
      <c r="BU525" s="15"/>
      <c r="BV525" s="15"/>
      <c r="BW525" s="15"/>
      <c r="BX525" s="15"/>
      <c r="BY525" s="15"/>
      <c r="BZ525" s="15"/>
      <c r="CA525" s="15"/>
      <c r="CB525" s="15"/>
      <c r="CC525" s="15"/>
      <c r="CD525" s="15"/>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row>
    <row r="526" spans="1:121" x14ac:dyDescent="0.2">
      <c r="A526" s="775"/>
      <c r="B526" s="775"/>
      <c r="C526" s="775"/>
      <c r="D526" s="1" t="s">
        <v>2064</v>
      </c>
      <c r="E526" s="1"/>
      <c r="F526" s="1"/>
      <c r="G526" s="1"/>
      <c r="H526" s="1"/>
      <c r="I526" s="1"/>
      <c r="J526" s="1"/>
      <c r="K526" s="1"/>
      <c r="L526" s="116"/>
      <c r="M526" s="116"/>
      <c r="N526" s="116"/>
      <c r="O526" s="116"/>
      <c r="P526" s="375"/>
      <c r="Q526" s="116"/>
      <c r="R526" s="116"/>
      <c r="S526" s="116"/>
      <c r="T526" s="116"/>
      <c r="U526" s="116"/>
      <c r="V526" s="116"/>
      <c r="W526" s="116"/>
      <c r="X526" s="116"/>
      <c r="Y526" s="116"/>
      <c r="Z526" s="116"/>
      <c r="AA526" s="116"/>
      <c r="AB526" s="116"/>
      <c r="AC526" s="116"/>
      <c r="AD526" s="116"/>
      <c r="AE526" s="116"/>
      <c r="AF526" s="116"/>
      <c r="AG526" s="116"/>
      <c r="AH526" s="1"/>
      <c r="AI526" s="46"/>
      <c r="AJ526" s="46"/>
      <c r="AK526" s="46"/>
      <c r="AL526" s="46"/>
      <c r="AM526" s="46"/>
      <c r="AN526" s="46"/>
      <c r="AO526" s="46"/>
      <c r="AP526" s="46"/>
      <c r="AQ526" s="1"/>
      <c r="AR526" s="15"/>
      <c r="AS526" s="15"/>
      <c r="AT526" s="15"/>
      <c r="AU526" s="15"/>
      <c r="AV526" s="15"/>
      <c r="AW526" s="15"/>
      <c r="AX526" s="15"/>
      <c r="AY526" s="15"/>
      <c r="AZ526" s="15"/>
      <c r="BA526" s="15"/>
      <c r="BB526" s="15"/>
      <c r="BC526" s="15"/>
      <c r="BD526" s="102"/>
      <c r="BE526" s="15"/>
      <c r="BF526" s="15"/>
      <c r="BG526" s="15"/>
      <c r="BH526" s="15"/>
      <c r="BI526" s="15"/>
      <c r="BJ526" s="15"/>
      <c r="BK526" s="15"/>
      <c r="BL526" s="15"/>
      <c r="BM526" s="15"/>
      <c r="BN526" s="15"/>
      <c r="BO526" s="15"/>
      <c r="BP526" s="15"/>
      <c r="BQ526" s="242"/>
      <c r="BR526" s="15"/>
      <c r="BS526" s="15"/>
      <c r="BT526" s="15"/>
      <c r="BU526" s="15"/>
      <c r="BV526" s="15"/>
      <c r="BW526" s="15"/>
      <c r="BX526" s="15"/>
      <c r="BY526" s="15"/>
      <c r="BZ526" s="15"/>
      <c r="CA526" s="15"/>
      <c r="CB526" s="15"/>
      <c r="CC526" s="15"/>
      <c r="CD526" s="15"/>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row>
    <row r="527" spans="1:121" x14ac:dyDescent="0.2">
      <c r="A527" s="775"/>
      <c r="B527" s="775"/>
      <c r="C527" s="775"/>
      <c r="D527" s="1" t="s">
        <v>1732</v>
      </c>
      <c r="E527" s="1"/>
      <c r="F527" s="1"/>
      <c r="G527" s="1"/>
      <c r="H527" s="1"/>
      <c r="I527" s="1"/>
      <c r="J527" s="1"/>
      <c r="K527" s="1"/>
      <c r="L527" s="116"/>
      <c r="M527" s="116"/>
      <c r="N527" s="116"/>
      <c r="O527" s="116"/>
      <c r="P527" s="375"/>
      <c r="Q527" s="116"/>
      <c r="R527" s="116"/>
      <c r="S527" s="116"/>
      <c r="T527" s="116"/>
      <c r="U527" s="116"/>
      <c r="V527" s="116"/>
      <c r="W527" s="116"/>
      <c r="X527" s="116"/>
      <c r="Y527" s="116"/>
      <c r="Z527" s="116"/>
      <c r="AA527" s="116"/>
      <c r="AB527" s="116"/>
      <c r="AC527" s="116"/>
      <c r="AD527" s="116"/>
      <c r="AE527" s="116"/>
      <c r="AF527" s="116"/>
      <c r="AG527" s="116"/>
      <c r="AH527" s="1"/>
      <c r="AI527" s="46"/>
      <c r="AJ527" s="46"/>
      <c r="AK527" s="46"/>
      <c r="AL527" s="46"/>
      <c r="AM527" s="46"/>
      <c r="AN527" s="46"/>
      <c r="AO527" s="46"/>
      <c r="AP527" s="46"/>
      <c r="AQ527" s="1"/>
      <c r="AR527" s="15"/>
      <c r="AS527" s="15"/>
      <c r="AT527" s="15"/>
      <c r="AU527" s="15"/>
      <c r="AV527" s="15"/>
      <c r="AW527" s="15"/>
      <c r="AX527" s="15"/>
      <c r="AY527" s="15"/>
      <c r="AZ527" s="15"/>
      <c r="BA527" s="15"/>
      <c r="BB527" s="15"/>
      <c r="BC527" s="15"/>
      <c r="BD527" s="102"/>
      <c r="BE527" s="15"/>
      <c r="BF527" s="15"/>
      <c r="BG527" s="15"/>
      <c r="BH527" s="15"/>
      <c r="BI527" s="15"/>
      <c r="BJ527" s="15"/>
      <c r="BK527" s="15"/>
      <c r="BL527" s="15"/>
      <c r="BM527" s="15"/>
      <c r="BN527" s="15"/>
      <c r="BO527" s="15"/>
      <c r="BP527" s="15"/>
      <c r="BQ527" s="242"/>
      <c r="BR527" s="15"/>
      <c r="BS527" s="15"/>
      <c r="BT527" s="15"/>
      <c r="BU527" s="15"/>
      <c r="BV527" s="15"/>
      <c r="BW527" s="15"/>
      <c r="BX527" s="15"/>
      <c r="BY527" s="15"/>
      <c r="BZ527" s="15"/>
      <c r="CA527" s="15"/>
      <c r="CB527" s="15"/>
      <c r="CC527" s="15"/>
      <c r="CD527" s="15"/>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row>
    <row r="528" spans="1:121" x14ac:dyDescent="0.2">
      <c r="A528" s="775"/>
      <c r="B528" s="775"/>
      <c r="C528" s="775"/>
      <c r="D528" s="1" t="s">
        <v>2065</v>
      </c>
      <c r="E528" s="1"/>
      <c r="F528" s="1"/>
      <c r="G528" s="1"/>
      <c r="H528" s="1"/>
      <c r="I528" s="1"/>
      <c r="J528" s="1"/>
      <c r="K528" s="1"/>
      <c r="L528" s="116"/>
      <c r="M528" s="116"/>
      <c r="N528" s="116"/>
      <c r="O528" s="116"/>
      <c r="P528" s="375"/>
      <c r="Q528" s="116"/>
      <c r="R528" s="116"/>
      <c r="S528" s="116"/>
      <c r="T528" s="116"/>
      <c r="U528" s="116"/>
      <c r="V528" s="116"/>
      <c r="W528" s="116"/>
      <c r="X528" s="116"/>
      <c r="Y528" s="116"/>
      <c r="Z528" s="116"/>
      <c r="AA528" s="116"/>
      <c r="AB528" s="116"/>
      <c r="AC528" s="116"/>
      <c r="AD528" s="116"/>
      <c r="AE528" s="116"/>
      <c r="AF528" s="116"/>
      <c r="AG528" s="116"/>
      <c r="AH528" s="1"/>
      <c r="AI528" s="46"/>
      <c r="AJ528" s="46"/>
      <c r="AK528" s="46"/>
      <c r="AL528" s="46"/>
      <c r="AM528" s="46"/>
      <c r="AN528" s="46"/>
      <c r="AO528" s="46"/>
      <c r="AP528" s="46"/>
      <c r="AQ528" s="1"/>
      <c r="AR528" s="15"/>
      <c r="AS528" s="15"/>
      <c r="AT528" s="15"/>
      <c r="AU528" s="15"/>
      <c r="AV528" s="15"/>
      <c r="AW528" s="15"/>
      <c r="AX528" s="15"/>
      <c r="AY528" s="15"/>
      <c r="AZ528" s="15"/>
      <c r="BA528" s="15"/>
      <c r="BB528" s="15"/>
      <c r="BC528" s="15"/>
      <c r="BD528" s="102"/>
      <c r="BE528" s="15"/>
      <c r="BF528" s="15"/>
      <c r="BG528" s="15"/>
      <c r="BH528" s="15"/>
      <c r="BI528" s="15"/>
      <c r="BJ528" s="15"/>
      <c r="BK528" s="15"/>
      <c r="BL528" s="15"/>
      <c r="BM528" s="15"/>
      <c r="BN528" s="15"/>
      <c r="BO528" s="15"/>
      <c r="BP528" s="15"/>
      <c r="BQ528" s="242"/>
      <c r="BR528" s="15"/>
      <c r="BS528" s="15"/>
      <c r="BT528" s="15"/>
      <c r="BU528" s="15"/>
      <c r="BV528" s="15"/>
      <c r="BW528" s="15"/>
      <c r="BX528" s="15"/>
      <c r="BY528" s="15"/>
      <c r="BZ528" s="15"/>
      <c r="CA528" s="15"/>
      <c r="CB528" s="15"/>
      <c r="CC528" s="15"/>
      <c r="CD528" s="15"/>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row>
    <row r="529" spans="1:121" x14ac:dyDescent="0.2">
      <c r="A529" s="775"/>
      <c r="B529" s="775"/>
      <c r="C529" s="775"/>
      <c r="D529" s="1" t="s">
        <v>2066</v>
      </c>
      <c r="E529" s="1"/>
      <c r="F529" s="1"/>
      <c r="G529" s="1"/>
      <c r="H529" s="1"/>
      <c r="I529" s="1"/>
      <c r="J529" s="1"/>
      <c r="K529" s="1"/>
      <c r="L529" s="116"/>
      <c r="M529" s="116"/>
      <c r="N529" s="116"/>
      <c r="O529" s="116"/>
      <c r="P529" s="375"/>
      <c r="Q529" s="116"/>
      <c r="R529" s="116"/>
      <c r="S529" s="116"/>
      <c r="T529" s="116"/>
      <c r="U529" s="116"/>
      <c r="V529" s="116"/>
      <c r="W529" s="116"/>
      <c r="X529" s="116"/>
      <c r="Y529" s="116"/>
      <c r="Z529" s="116"/>
      <c r="AA529" s="116"/>
      <c r="AB529" s="116"/>
      <c r="AC529" s="116"/>
      <c r="AD529" s="116"/>
      <c r="AE529" s="116"/>
      <c r="AF529" s="116"/>
      <c r="AG529" s="116"/>
      <c r="AH529" s="1"/>
      <c r="AI529" s="46"/>
      <c r="AJ529" s="46"/>
      <c r="AK529" s="46"/>
      <c r="AL529" s="46"/>
      <c r="AM529" s="46"/>
      <c r="AN529" s="46"/>
      <c r="AO529" s="46"/>
      <c r="AP529" s="46"/>
      <c r="AQ529" s="1"/>
      <c r="AR529" s="15"/>
      <c r="AS529" s="15"/>
      <c r="AT529" s="15"/>
      <c r="AU529" s="15"/>
      <c r="AV529" s="15"/>
      <c r="AW529" s="15"/>
      <c r="AX529" s="15"/>
      <c r="AY529" s="15"/>
      <c r="AZ529" s="15"/>
      <c r="BA529" s="15"/>
      <c r="BB529" s="15"/>
      <c r="BC529" s="15"/>
      <c r="BD529" s="102"/>
      <c r="BE529" s="15"/>
      <c r="BF529" s="15"/>
      <c r="BG529" s="15"/>
      <c r="BH529" s="15"/>
      <c r="BI529" s="15"/>
      <c r="BJ529" s="15"/>
      <c r="BK529" s="15"/>
      <c r="BL529" s="15"/>
      <c r="BM529" s="15"/>
      <c r="BN529" s="15"/>
      <c r="BO529" s="15"/>
      <c r="BP529" s="15"/>
      <c r="BQ529" s="242"/>
      <c r="BR529" s="15"/>
      <c r="BS529" s="15"/>
      <c r="BT529" s="15"/>
      <c r="BU529" s="15"/>
      <c r="BV529" s="15"/>
      <c r="BW529" s="15"/>
      <c r="BX529" s="15"/>
      <c r="BY529" s="15"/>
      <c r="BZ529" s="15"/>
      <c r="CA529" s="15"/>
      <c r="CB529" s="15"/>
      <c r="CC529" s="15"/>
      <c r="CD529" s="15"/>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row>
    <row r="530" spans="1:121" x14ac:dyDescent="0.2">
      <c r="A530" s="775"/>
      <c r="B530" s="775"/>
      <c r="C530" s="775"/>
      <c r="D530" s="1" t="s">
        <v>504</v>
      </c>
      <c r="E530" s="1"/>
      <c r="F530" s="1"/>
      <c r="G530" s="1"/>
      <c r="H530" s="1"/>
      <c r="I530" s="1"/>
      <c r="J530" s="1"/>
      <c r="K530" s="1"/>
      <c r="L530" s="116"/>
      <c r="M530" s="116"/>
      <c r="N530" s="116"/>
      <c r="O530" s="116"/>
      <c r="P530" s="375"/>
      <c r="Q530" s="116"/>
      <c r="R530" s="116"/>
      <c r="S530" s="116"/>
      <c r="T530" s="116"/>
      <c r="U530" s="116"/>
      <c r="V530" s="116"/>
      <c r="W530" s="116"/>
      <c r="X530" s="116"/>
      <c r="Y530" s="116"/>
      <c r="Z530" s="116"/>
      <c r="AA530" s="116"/>
      <c r="AB530" s="116"/>
      <c r="AC530" s="116"/>
      <c r="AD530" s="116"/>
      <c r="AE530" s="116"/>
      <c r="AF530" s="116"/>
      <c r="AG530" s="116"/>
      <c r="AH530" s="1"/>
      <c r="AI530" s="46"/>
      <c r="AJ530" s="46"/>
      <c r="AK530" s="46"/>
      <c r="AL530" s="46"/>
      <c r="AM530" s="46"/>
      <c r="AN530" s="46"/>
      <c r="AO530" s="46"/>
      <c r="AP530" s="46"/>
      <c r="AQ530" s="1"/>
      <c r="AR530" s="15"/>
      <c r="AS530" s="15"/>
      <c r="AT530" s="15"/>
      <c r="AU530" s="15"/>
      <c r="AV530" s="15"/>
      <c r="AW530" s="15"/>
      <c r="AX530" s="15"/>
      <c r="AY530" s="15"/>
      <c r="AZ530" s="15"/>
      <c r="BA530" s="15"/>
      <c r="BB530" s="15"/>
      <c r="BC530" s="15"/>
      <c r="BD530" s="102"/>
      <c r="BE530" s="15"/>
      <c r="BF530" s="15"/>
      <c r="BG530" s="15"/>
      <c r="BH530" s="15"/>
      <c r="BI530" s="15"/>
      <c r="BJ530" s="15"/>
      <c r="BK530" s="15"/>
      <c r="BL530" s="15"/>
      <c r="BM530" s="15"/>
      <c r="BN530" s="15"/>
      <c r="BO530" s="15"/>
      <c r="BP530" s="15"/>
      <c r="BQ530" s="242"/>
      <c r="BR530" s="15"/>
      <c r="BS530" s="15"/>
      <c r="BT530" s="15"/>
      <c r="BU530" s="15"/>
      <c r="BV530" s="15"/>
      <c r="BW530" s="15"/>
      <c r="BX530" s="15"/>
      <c r="BY530" s="15"/>
      <c r="BZ530" s="15"/>
      <c r="CA530" s="15"/>
      <c r="CB530" s="15"/>
      <c r="CC530" s="15"/>
      <c r="CD530" s="15"/>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row>
    <row r="531" spans="1:121" x14ac:dyDescent="0.2">
      <c r="A531" s="775"/>
      <c r="B531" s="775"/>
      <c r="C531" s="775"/>
      <c r="D531" s="1" t="s">
        <v>1235</v>
      </c>
      <c r="E531" s="1"/>
      <c r="F531" s="1"/>
      <c r="G531" s="1"/>
      <c r="H531" s="1"/>
      <c r="I531" s="1"/>
      <c r="J531" s="1"/>
      <c r="K531" s="1"/>
      <c r="L531" s="116"/>
      <c r="M531" s="116"/>
      <c r="N531" s="116"/>
      <c r="O531" s="116"/>
      <c r="P531" s="375"/>
      <c r="Q531" s="116"/>
      <c r="R531" s="116"/>
      <c r="S531" s="116"/>
      <c r="T531" s="116"/>
      <c r="U531" s="116"/>
      <c r="V531" s="116"/>
      <c r="W531" s="116"/>
      <c r="X531" s="116"/>
      <c r="Y531" s="116"/>
      <c r="Z531" s="116"/>
      <c r="AA531" s="116"/>
      <c r="AB531" s="116"/>
      <c r="AC531" s="116"/>
      <c r="AD531" s="116"/>
      <c r="AE531" s="116"/>
      <c r="AF531" s="116"/>
      <c r="AG531" s="116"/>
      <c r="AH531" s="1"/>
      <c r="AI531" s="46"/>
      <c r="AJ531" s="46"/>
      <c r="AK531" s="46"/>
      <c r="AL531" s="46"/>
      <c r="AM531" s="46"/>
      <c r="AN531" s="46"/>
      <c r="AO531" s="46"/>
      <c r="AP531" s="46"/>
      <c r="AQ531" s="1"/>
      <c r="AR531" s="15"/>
      <c r="AS531" s="15"/>
      <c r="AT531" s="15"/>
      <c r="AU531" s="15"/>
      <c r="AV531" s="15"/>
      <c r="AW531" s="15"/>
      <c r="AX531" s="15"/>
      <c r="AY531" s="15"/>
      <c r="AZ531" s="15"/>
      <c r="BA531" s="15"/>
      <c r="BB531" s="15"/>
      <c r="BC531" s="15"/>
      <c r="BD531" s="102"/>
      <c r="BE531" s="15"/>
      <c r="BF531" s="15"/>
      <c r="BG531" s="15"/>
      <c r="BH531" s="15"/>
      <c r="BI531" s="15"/>
      <c r="BJ531" s="15"/>
      <c r="BK531" s="15"/>
      <c r="BL531" s="15"/>
      <c r="BM531" s="15"/>
      <c r="BN531" s="15"/>
      <c r="BO531" s="15"/>
      <c r="BP531" s="15"/>
      <c r="BQ531" s="242"/>
      <c r="BR531" s="15"/>
      <c r="BS531" s="15"/>
      <c r="BT531" s="15"/>
      <c r="BU531" s="15"/>
      <c r="BV531" s="15"/>
      <c r="BW531" s="15"/>
      <c r="BX531" s="15"/>
      <c r="BY531" s="15"/>
      <c r="BZ531" s="15"/>
      <c r="CA531" s="15"/>
      <c r="CB531" s="15"/>
      <c r="CC531" s="15"/>
      <c r="CD531" s="15"/>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row>
    <row r="532" spans="1:121" x14ac:dyDescent="0.2">
      <c r="A532" s="775"/>
      <c r="B532" s="775"/>
      <c r="C532" s="775"/>
      <c r="D532" s="1" t="s">
        <v>2067</v>
      </c>
      <c r="E532" s="1"/>
      <c r="F532" s="1"/>
      <c r="G532" s="1"/>
      <c r="H532" s="1"/>
      <c r="I532" s="1"/>
      <c r="J532" s="1"/>
      <c r="K532" s="1"/>
      <c r="L532" s="116"/>
      <c r="M532" s="116"/>
      <c r="N532" s="116"/>
      <c r="O532" s="116"/>
      <c r="P532" s="375"/>
      <c r="Q532" s="116"/>
      <c r="R532" s="116"/>
      <c r="S532" s="116"/>
      <c r="T532" s="116"/>
      <c r="U532" s="116"/>
      <c r="V532" s="116"/>
      <c r="W532" s="116"/>
      <c r="X532" s="116"/>
      <c r="Y532" s="116"/>
      <c r="Z532" s="116"/>
      <c r="AA532" s="116"/>
      <c r="AB532" s="116"/>
      <c r="AC532" s="116"/>
      <c r="AD532" s="116"/>
      <c r="AE532" s="116"/>
      <c r="AF532" s="116"/>
      <c r="AG532" s="116"/>
      <c r="AH532" s="1"/>
      <c r="AI532" s="46"/>
      <c r="AJ532" s="46"/>
      <c r="AK532" s="46"/>
      <c r="AL532" s="46"/>
      <c r="AM532" s="46"/>
      <c r="AN532" s="46"/>
      <c r="AO532" s="46"/>
      <c r="AP532" s="46"/>
      <c r="AQ532" s="1"/>
      <c r="AR532" s="15"/>
      <c r="AS532" s="15"/>
      <c r="AT532" s="15"/>
      <c r="AU532" s="15"/>
      <c r="AV532" s="15"/>
      <c r="AW532" s="15"/>
      <c r="AX532" s="15"/>
      <c r="AY532" s="15"/>
      <c r="AZ532" s="15"/>
      <c r="BA532" s="15"/>
      <c r="BB532" s="15"/>
      <c r="BC532" s="15"/>
      <c r="BD532" s="102"/>
      <c r="BE532" s="15"/>
      <c r="BF532" s="15"/>
      <c r="BG532" s="15"/>
      <c r="BH532" s="15"/>
      <c r="BI532" s="15"/>
      <c r="BJ532" s="15"/>
      <c r="BK532" s="15"/>
      <c r="BL532" s="15"/>
      <c r="BM532" s="15"/>
      <c r="BN532" s="15"/>
      <c r="BO532" s="15"/>
      <c r="BP532" s="15"/>
      <c r="BQ532" s="242"/>
      <c r="BR532" s="15"/>
      <c r="BS532" s="15"/>
      <c r="BT532" s="15"/>
      <c r="BU532" s="15"/>
      <c r="BV532" s="15"/>
      <c r="BW532" s="15"/>
      <c r="BX532" s="15"/>
      <c r="BY532" s="15"/>
      <c r="BZ532" s="15"/>
      <c r="CA532" s="15"/>
      <c r="CB532" s="15"/>
      <c r="CC532" s="15"/>
      <c r="CD532" s="15"/>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row>
    <row r="533" spans="1:121" x14ac:dyDescent="0.2">
      <c r="A533" s="775"/>
      <c r="B533" s="775"/>
      <c r="C533" s="775"/>
      <c r="D533" s="1" t="s">
        <v>2068</v>
      </c>
      <c r="E533" s="1"/>
      <c r="F533" s="1"/>
      <c r="G533" s="1"/>
      <c r="H533" s="1"/>
      <c r="I533" s="1"/>
      <c r="J533" s="1"/>
      <c r="K533" s="1"/>
      <c r="L533" s="116"/>
      <c r="M533" s="116"/>
      <c r="N533" s="116"/>
      <c r="O533" s="116"/>
      <c r="P533" s="375"/>
      <c r="Q533" s="116"/>
      <c r="R533" s="116"/>
      <c r="S533" s="116"/>
      <c r="T533" s="116"/>
      <c r="U533" s="116"/>
      <c r="V533" s="116"/>
      <c r="W533" s="116"/>
      <c r="X533" s="116"/>
      <c r="Y533" s="116"/>
      <c r="Z533" s="116"/>
      <c r="AA533" s="116"/>
      <c r="AB533" s="116"/>
      <c r="AC533" s="116"/>
      <c r="AD533" s="116"/>
      <c r="AE533" s="116"/>
      <c r="AF533" s="116"/>
      <c r="AG533" s="116"/>
      <c r="AH533" s="1"/>
      <c r="AI533" s="46"/>
      <c r="AJ533" s="46"/>
      <c r="AK533" s="46"/>
      <c r="AL533" s="46"/>
      <c r="AM533" s="46"/>
      <c r="AN533" s="46"/>
      <c r="AO533" s="46"/>
      <c r="AP533" s="46"/>
      <c r="AQ533" s="1"/>
      <c r="AR533" s="15"/>
      <c r="AS533" s="15"/>
      <c r="AT533" s="15"/>
      <c r="AU533" s="15"/>
      <c r="AV533" s="15"/>
      <c r="AW533" s="15"/>
      <c r="AX533" s="15"/>
      <c r="AY533" s="15"/>
      <c r="AZ533" s="15"/>
      <c r="BA533" s="15"/>
      <c r="BB533" s="15"/>
      <c r="BC533" s="15"/>
      <c r="BD533" s="102"/>
      <c r="BE533" s="15"/>
      <c r="BF533" s="15"/>
      <c r="BG533" s="15"/>
      <c r="BH533" s="15"/>
      <c r="BI533" s="15"/>
      <c r="BJ533" s="15"/>
      <c r="BK533" s="15"/>
      <c r="BL533" s="15"/>
      <c r="BM533" s="15"/>
      <c r="BN533" s="15"/>
      <c r="BO533" s="15"/>
      <c r="BP533" s="15"/>
      <c r="BQ533" s="242"/>
      <c r="BR533" s="15"/>
      <c r="BS533" s="15"/>
      <c r="BT533" s="15"/>
      <c r="BU533" s="15"/>
      <c r="BV533" s="15"/>
      <c r="BW533" s="15"/>
      <c r="BX533" s="15"/>
      <c r="BY533" s="15"/>
      <c r="BZ533" s="15"/>
      <c r="CA533" s="15"/>
      <c r="CB533" s="15"/>
      <c r="CC533" s="15"/>
      <c r="CD533" s="15"/>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row>
  </sheetData>
  <mergeCells count="90">
    <mergeCell ref="C520:C533"/>
    <mergeCell ref="B520:B533"/>
    <mergeCell ref="A520:A533"/>
    <mergeCell ref="G443:G446"/>
    <mergeCell ref="G447:G451"/>
    <mergeCell ref="G452:G457"/>
    <mergeCell ref="E458:E474"/>
    <mergeCell ref="E475:E485"/>
    <mergeCell ref="E486:E519"/>
    <mergeCell ref="F443:F446"/>
    <mergeCell ref="F447:F451"/>
    <mergeCell ref="F452:F457"/>
    <mergeCell ref="B443:B446"/>
    <mergeCell ref="C486:C519"/>
    <mergeCell ref="B486:B519"/>
    <mergeCell ref="E443:E446"/>
    <mergeCell ref="E447:E451"/>
    <mergeCell ref="E452:E457"/>
    <mergeCell ref="B458:B474"/>
    <mergeCell ref="A486:A519"/>
    <mergeCell ref="B475:B485"/>
    <mergeCell ref="A475:A485"/>
    <mergeCell ref="C443:C446"/>
    <mergeCell ref="C447:C451"/>
    <mergeCell ref="C452:C457"/>
    <mergeCell ref="C458:C474"/>
    <mergeCell ref="C475:C485"/>
    <mergeCell ref="A443:A446"/>
    <mergeCell ref="A458:A474"/>
    <mergeCell ref="B452:B457"/>
    <mergeCell ref="A452:A457"/>
    <mergeCell ref="B447:B451"/>
    <mergeCell ref="A447:A451"/>
    <mergeCell ref="A190:A387"/>
    <mergeCell ref="A388:A430"/>
    <mergeCell ref="A431:A440"/>
    <mergeCell ref="J431:J440"/>
    <mergeCell ref="K431:K440"/>
    <mergeCell ref="H388:H430"/>
    <mergeCell ref="I388:I430"/>
    <mergeCell ref="J388:J430"/>
    <mergeCell ref="K388:K430"/>
    <mergeCell ref="G190:G387"/>
    <mergeCell ref="G388:G430"/>
    <mergeCell ref="G431:G440"/>
    <mergeCell ref="H431:H440"/>
    <mergeCell ref="I431:I440"/>
    <mergeCell ref="C190:C387"/>
    <mergeCell ref="C388:C430"/>
    <mergeCell ref="C431:C440"/>
    <mergeCell ref="B190:B387"/>
    <mergeCell ref="B388:B430"/>
    <mergeCell ref="B431:B440"/>
    <mergeCell ref="B78:B175"/>
    <mergeCell ref="S1:U1"/>
    <mergeCell ref="V1:X1"/>
    <mergeCell ref="A48:A71"/>
    <mergeCell ref="B48:B71"/>
    <mergeCell ref="G48:G71"/>
    <mergeCell ref="H48:H71"/>
    <mergeCell ref="I48:I71"/>
    <mergeCell ref="J48:J71"/>
    <mergeCell ref="K48:K71"/>
    <mergeCell ref="K22:K36"/>
    <mergeCell ref="C48:C71"/>
    <mergeCell ref="C39:C47"/>
    <mergeCell ref="A78:A175"/>
    <mergeCell ref="C78:C175"/>
    <mergeCell ref="CE1:CQ1"/>
    <mergeCell ref="BR1:CD1"/>
    <mergeCell ref="A72:A75"/>
    <mergeCell ref="C72:C75"/>
    <mergeCell ref="B72:B75"/>
    <mergeCell ref="M1:O1"/>
    <mergeCell ref="P1:R1"/>
    <mergeCell ref="A22:A36"/>
    <mergeCell ref="B22:B36"/>
    <mergeCell ref="C22:C36"/>
    <mergeCell ref="G22:G36"/>
    <mergeCell ref="H22:H36"/>
    <mergeCell ref="I22:I36"/>
    <mergeCell ref="J22:J36"/>
    <mergeCell ref="I176:I183"/>
    <mergeCell ref="J176:J183"/>
    <mergeCell ref="K176:K183"/>
    <mergeCell ref="A176:A183"/>
    <mergeCell ref="B176:B183"/>
    <mergeCell ref="C176:C183"/>
    <mergeCell ref="G176:G183"/>
    <mergeCell ref="H176:H183"/>
  </mergeCells>
  <phoneticPr fontId="16" type="noConversion"/>
  <conditionalFormatting sqref="K2">
    <cfRule type="expression" dxfId="2" priority="1">
      <formula>$AI2&lt;TODAY()</formula>
    </cfRule>
    <cfRule type="expression" dxfId="1" priority="2">
      <formula>AND($AI2-TODAY()&gt;=0,$AI2-TODAY()&lt;=180)</formula>
    </cfRule>
    <cfRule type="expression" dxfId="0" priority="3">
      <formula>$AI2-TODAY()&gt;180</formula>
    </cfRule>
  </conditionalFormatting>
  <pageMargins left="0.7" right="0.7" top="0.75" bottom="0.75" header="0.3" footer="0.3"/>
  <pageSetup paperSize="8" scale="39" fitToHeight="0" orientation="landscape" verticalDpi="3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E389F-0715-410D-A217-87E523CD49FB}">
  <dimension ref="A1:EZ533"/>
  <sheetViews>
    <sheetView zoomScale="66" workbookViewId="0">
      <pane ySplit="2" topLeftCell="A196" activePane="bottomLeft" state="frozen"/>
      <selection activeCell="C6" sqref="C6:C11"/>
      <selection pane="bottomLeft" activeCell="D206" sqref="D206"/>
    </sheetView>
  </sheetViews>
  <sheetFormatPr defaultColWidth="8.85546875" defaultRowHeight="25.9" customHeight="1" x14ac:dyDescent="0.25"/>
  <cols>
    <col min="1" max="1" width="26.5703125" customWidth="1"/>
    <col min="2" max="2" width="48.42578125" bestFit="1" customWidth="1"/>
    <col min="3" max="3" width="69.140625" customWidth="1"/>
    <col min="4" max="4" width="45" customWidth="1"/>
    <col min="5" max="5" width="14" customWidth="1"/>
    <col min="6" max="6" width="19.7109375" customWidth="1"/>
    <col min="7" max="7" width="26.42578125" customWidth="1"/>
    <col min="8" max="8" width="18" customWidth="1"/>
    <col min="9" max="9" width="14.28515625" customWidth="1"/>
    <col min="10" max="10" width="13.7109375" customWidth="1"/>
    <col min="11" max="11" width="14.7109375" customWidth="1"/>
    <col min="12" max="12" width="13.7109375" customWidth="1"/>
    <col min="13" max="13" width="12" customWidth="1"/>
    <col min="14" max="14" width="15.7109375" customWidth="1"/>
    <col min="15" max="15" width="12.5703125" customWidth="1"/>
    <col min="16" max="16" width="13.42578125" customWidth="1"/>
    <col min="17" max="17" width="12.85546875" customWidth="1"/>
    <col min="18" max="18" width="22.5703125" bestFit="1" customWidth="1"/>
    <col min="19" max="19" width="14.7109375" customWidth="1"/>
    <col min="20" max="20" width="13.85546875" customWidth="1"/>
    <col min="21" max="21" width="11.5703125" customWidth="1"/>
    <col min="22" max="22" width="16.140625" customWidth="1"/>
    <col min="23" max="23" width="47.140625" customWidth="1"/>
    <col min="24" max="24" width="17.85546875" customWidth="1"/>
    <col min="25" max="30" width="7.42578125" customWidth="1"/>
    <col min="31" max="31" width="27.5703125" customWidth="1"/>
    <col min="32" max="33" width="9.5703125" style="19" customWidth="1"/>
    <col min="34" max="34" width="9" style="19" customWidth="1"/>
    <col min="35" max="35" width="11.5703125" style="19" customWidth="1"/>
    <col min="36" max="36" width="12.42578125" style="19" customWidth="1"/>
    <col min="37" max="37" width="12.85546875" style="19" customWidth="1"/>
    <col min="38" max="38" width="9" style="19" customWidth="1"/>
    <col min="39" max="39" width="12" style="19" customWidth="1"/>
    <col min="40" max="41" width="9.5703125" style="19" customWidth="1"/>
    <col min="42" max="42" width="9" style="19" customWidth="1"/>
    <col min="43" max="43" width="55.85546875" style="19" customWidth="1"/>
    <col min="44" max="44" width="9.5703125" style="19" customWidth="1"/>
    <col min="45" max="45" width="12.85546875" style="19" bestFit="1" customWidth="1"/>
    <col min="46" max="46" width="15.7109375" style="19" bestFit="1" customWidth="1"/>
    <col min="47" max="47" width="19.28515625" style="19" bestFit="1" customWidth="1"/>
    <col min="48" max="48" width="9.5703125" style="19" customWidth="1"/>
    <col min="49" max="49" width="18.42578125" style="19" bestFit="1" customWidth="1"/>
    <col min="50" max="51" width="9.5703125" style="19" customWidth="1"/>
    <col min="52" max="52" width="9" style="19" customWidth="1"/>
    <col min="53" max="53" width="9.5703125" style="19" customWidth="1"/>
    <col min="54" max="54" width="17.140625" style="19" bestFit="1" customWidth="1"/>
    <col min="55" max="55" width="12.85546875" style="19" bestFit="1" customWidth="1"/>
    <col min="56" max="56" width="13.7109375" style="19" bestFit="1" customWidth="1"/>
    <col min="57" max="57" width="15.5703125" style="134" bestFit="1" customWidth="1"/>
    <col min="58" max="58" width="12.85546875" style="19" bestFit="1" customWidth="1"/>
    <col min="59" max="59" width="15.7109375" style="19" bestFit="1" customWidth="1"/>
    <col min="60" max="60" width="19.28515625" style="19" bestFit="1" customWidth="1"/>
    <col min="61" max="61" width="16.7109375" style="19" bestFit="1" customWidth="1"/>
    <col min="62" max="62" width="18.42578125" style="19" bestFit="1" customWidth="1"/>
    <col min="63" max="63" width="13" style="19" customWidth="1"/>
    <col min="64" max="64" width="9.7109375" style="19" customWidth="1"/>
    <col min="65" max="66" width="8.85546875" style="19" customWidth="1"/>
    <col min="67" max="67" width="10" style="19" customWidth="1"/>
    <col min="68" max="69" width="8.85546875" style="19" customWidth="1"/>
    <col min="70" max="70" width="11.28515625" style="134" customWidth="1"/>
    <col min="71" max="75" width="8.85546875" customWidth="1"/>
    <col min="76" max="76" width="10" customWidth="1"/>
    <col min="77" max="81" width="8.85546875" customWidth="1"/>
    <col min="82" max="82" width="13.140625" bestFit="1" customWidth="1"/>
    <col min="83" max="84" width="8.85546875" customWidth="1"/>
    <col min="85" max="85" width="13.85546875" bestFit="1" customWidth="1"/>
    <col min="86" max="89" width="8.85546875" customWidth="1"/>
    <col min="90" max="90" width="14.28515625" bestFit="1" customWidth="1"/>
    <col min="91" max="91" width="10.28515625" bestFit="1" customWidth="1"/>
    <col min="92" max="92" width="8.85546875" customWidth="1"/>
    <col min="93" max="93" width="13.85546875" bestFit="1" customWidth="1"/>
    <col min="94" max="106" width="8.85546875" customWidth="1"/>
    <col min="107" max="107" width="11.140625" bestFit="1" customWidth="1"/>
    <col min="108" max="108" width="10.7109375" customWidth="1"/>
    <col min="109" max="109" width="14.140625" bestFit="1" customWidth="1"/>
    <col min="110" max="110" width="14.7109375" bestFit="1" customWidth="1"/>
    <col min="111" max="111" width="13.7109375" bestFit="1" customWidth="1"/>
    <col min="112" max="112" width="10.7109375" bestFit="1" customWidth="1"/>
    <col min="113" max="113" width="9.85546875" bestFit="1" customWidth="1"/>
    <col min="114" max="114" width="11.140625" customWidth="1"/>
    <col min="115" max="115" width="10.7109375" bestFit="1" customWidth="1"/>
    <col min="116" max="116" width="13.28515625" bestFit="1" customWidth="1"/>
    <col min="118" max="118" width="13.7109375" bestFit="1" customWidth="1"/>
    <col min="119" max="119" width="13.5703125" bestFit="1" customWidth="1"/>
  </cols>
  <sheetData>
    <row r="1" spans="1:156" ht="15.75" thickBot="1" x14ac:dyDescent="0.3">
      <c r="AF1" s="861" t="s">
        <v>0</v>
      </c>
      <c r="AG1" s="861"/>
      <c r="AH1" s="861"/>
      <c r="AI1" s="861"/>
      <c r="AJ1" s="861"/>
      <c r="AK1" s="861"/>
      <c r="AL1" s="861"/>
      <c r="AM1" s="861"/>
      <c r="AN1" s="861"/>
      <c r="AO1" s="861"/>
      <c r="AP1" s="861"/>
      <c r="AQ1" s="861"/>
      <c r="AR1" s="861"/>
      <c r="AS1" s="861" t="s">
        <v>1</v>
      </c>
      <c r="AT1" s="861"/>
      <c r="AU1" s="861"/>
      <c r="AV1" s="861"/>
      <c r="AW1" s="861"/>
      <c r="AX1" s="861"/>
      <c r="AY1" s="861"/>
      <c r="AZ1" s="861"/>
      <c r="BA1" s="861"/>
      <c r="BB1" s="861"/>
      <c r="BC1" s="861"/>
      <c r="BD1" s="861"/>
      <c r="BE1" s="861"/>
      <c r="BF1" s="862" t="s">
        <v>2</v>
      </c>
      <c r="BG1" s="862"/>
      <c r="BH1" s="862"/>
      <c r="BI1" s="862"/>
      <c r="BJ1" s="862"/>
      <c r="BK1" s="862"/>
      <c r="BL1" s="862"/>
      <c r="BM1" s="862"/>
      <c r="BN1" s="862"/>
      <c r="BO1" s="862"/>
      <c r="BP1" s="862"/>
      <c r="BQ1" s="862"/>
      <c r="BR1" s="862"/>
      <c r="DC1" s="858" t="s">
        <v>1522</v>
      </c>
      <c r="DD1" s="858"/>
      <c r="DE1" s="858"/>
      <c r="DF1" s="858"/>
      <c r="DG1" s="858"/>
      <c r="DH1" s="858"/>
      <c r="DI1" s="858"/>
      <c r="DJ1" s="858"/>
      <c r="DK1" s="858"/>
      <c r="DL1" s="858"/>
      <c r="DM1" s="858"/>
      <c r="DN1" s="858"/>
      <c r="DO1" s="858"/>
    </row>
    <row r="2" spans="1:156" s="34" customFormat="1" ht="40.9" customHeight="1" thickBot="1" x14ac:dyDescent="0.3">
      <c r="A2" s="71" t="s">
        <v>3</v>
      </c>
      <c r="B2" s="72" t="s">
        <v>4</v>
      </c>
      <c r="C2" s="72" t="s">
        <v>5</v>
      </c>
      <c r="D2" s="72" t="s">
        <v>6</v>
      </c>
      <c r="E2" s="72" t="s">
        <v>7</v>
      </c>
      <c r="F2" s="72" t="s">
        <v>8</v>
      </c>
      <c r="G2" s="72" t="s">
        <v>9</v>
      </c>
      <c r="H2" s="72" t="s">
        <v>10</v>
      </c>
      <c r="I2" s="73" t="s">
        <v>11</v>
      </c>
      <c r="J2" s="73" t="s">
        <v>12</v>
      </c>
      <c r="K2" s="95" t="s">
        <v>13</v>
      </c>
      <c r="L2" s="74" t="s">
        <v>512</v>
      </c>
      <c r="M2" s="74" t="s">
        <v>14</v>
      </c>
      <c r="N2" s="74" t="s">
        <v>15</v>
      </c>
      <c r="O2" s="74" t="s">
        <v>15</v>
      </c>
      <c r="P2" s="74" t="s">
        <v>16</v>
      </c>
      <c r="Q2" s="74" t="s">
        <v>17</v>
      </c>
      <c r="R2" s="74" t="s">
        <v>17</v>
      </c>
      <c r="S2" s="74" t="s">
        <v>19</v>
      </c>
      <c r="T2" s="74" t="s">
        <v>20</v>
      </c>
      <c r="U2" s="74" t="s">
        <v>18</v>
      </c>
      <c r="V2" s="77" t="s">
        <v>21</v>
      </c>
      <c r="W2" s="78" t="s">
        <v>22</v>
      </c>
      <c r="X2" s="30" t="s">
        <v>23</v>
      </c>
      <c r="Y2" s="30" t="s">
        <v>24</v>
      </c>
      <c r="Z2" s="31" t="s">
        <v>25</v>
      </c>
      <c r="AA2" s="27" t="s">
        <v>26</v>
      </c>
      <c r="AB2" s="32" t="s">
        <v>27</v>
      </c>
      <c r="AC2" s="26" t="s">
        <v>28</v>
      </c>
      <c r="AD2" s="28" t="s">
        <v>29</v>
      </c>
      <c r="AE2" s="29" t="s">
        <v>30</v>
      </c>
      <c r="AF2" s="82" t="s">
        <v>31</v>
      </c>
      <c r="AG2" s="82" t="s">
        <v>32</v>
      </c>
      <c r="AH2" s="82" t="s">
        <v>33</v>
      </c>
      <c r="AI2" s="82" t="s">
        <v>34</v>
      </c>
      <c r="AJ2" s="82" t="s">
        <v>35</v>
      </c>
      <c r="AK2" s="82" t="s">
        <v>36</v>
      </c>
      <c r="AL2" s="82" t="s">
        <v>37</v>
      </c>
      <c r="AM2" s="82" t="s">
        <v>38</v>
      </c>
      <c r="AN2" s="82" t="s">
        <v>39</v>
      </c>
      <c r="AO2" s="82" t="s">
        <v>40</v>
      </c>
      <c r="AP2" s="82" t="s">
        <v>41</v>
      </c>
      <c r="AQ2" s="82" t="s">
        <v>42</v>
      </c>
      <c r="AR2" s="83" t="s">
        <v>43</v>
      </c>
      <c r="AS2" s="82" t="s">
        <v>31</v>
      </c>
      <c r="AT2" s="82" t="s">
        <v>32</v>
      </c>
      <c r="AU2" s="82" t="s">
        <v>33</v>
      </c>
      <c r="AV2" s="82" t="s">
        <v>34</v>
      </c>
      <c r="AW2" s="82" t="s">
        <v>35</v>
      </c>
      <c r="AX2" s="82" t="s">
        <v>36</v>
      </c>
      <c r="AY2" s="82" t="s">
        <v>37</v>
      </c>
      <c r="AZ2" s="82" t="s">
        <v>38</v>
      </c>
      <c r="BA2" s="82" t="s">
        <v>39</v>
      </c>
      <c r="BB2" s="82" t="s">
        <v>40</v>
      </c>
      <c r="BC2" s="82" t="s">
        <v>41</v>
      </c>
      <c r="BD2" s="82" t="s">
        <v>42</v>
      </c>
      <c r="BE2" s="83" t="s">
        <v>43</v>
      </c>
      <c r="BF2" s="82" t="s">
        <v>31</v>
      </c>
      <c r="BG2" s="82" t="s">
        <v>32</v>
      </c>
      <c r="BH2" s="82" t="s">
        <v>33</v>
      </c>
      <c r="BI2" s="82" t="s">
        <v>34</v>
      </c>
      <c r="BJ2" s="133" t="s">
        <v>35</v>
      </c>
      <c r="BK2" s="82" t="s">
        <v>36</v>
      </c>
      <c r="BL2" s="82" t="s">
        <v>37</v>
      </c>
      <c r="BM2" s="82" t="s">
        <v>38</v>
      </c>
      <c r="BN2" s="82" t="s">
        <v>39</v>
      </c>
      <c r="BO2" s="82" t="s">
        <v>40</v>
      </c>
      <c r="BP2" s="82" t="s">
        <v>41</v>
      </c>
      <c r="BQ2" s="82" t="s">
        <v>42</v>
      </c>
      <c r="BR2" s="83" t="s">
        <v>43</v>
      </c>
      <c r="DC2" s="516" t="s">
        <v>1872</v>
      </c>
      <c r="DD2" s="516" t="s">
        <v>32</v>
      </c>
      <c r="DE2" s="516" t="s">
        <v>33</v>
      </c>
      <c r="DF2" s="516" t="s">
        <v>34</v>
      </c>
      <c r="DG2" s="516" t="s">
        <v>35</v>
      </c>
      <c r="DH2" s="516" t="s">
        <v>36</v>
      </c>
      <c r="DI2" s="516" t="s">
        <v>37</v>
      </c>
      <c r="DJ2" s="516" t="s">
        <v>38</v>
      </c>
      <c r="DK2" s="516" t="s">
        <v>39</v>
      </c>
      <c r="DL2" s="516" t="s">
        <v>40</v>
      </c>
      <c r="DM2" s="516" t="s">
        <v>1873</v>
      </c>
      <c r="DN2" s="516" t="s">
        <v>42</v>
      </c>
      <c r="DO2" s="517" t="s">
        <v>487</v>
      </c>
      <c r="DP2" s="525"/>
      <c r="DQ2" s="525"/>
      <c r="DR2" s="525"/>
      <c r="DS2" s="525"/>
      <c r="DT2" s="525"/>
      <c r="DU2" s="525"/>
      <c r="DV2" s="525"/>
      <c r="DW2" s="525"/>
      <c r="DX2" s="525"/>
      <c r="DY2" s="525"/>
      <c r="DZ2" s="525"/>
      <c r="EA2" s="525"/>
      <c r="EB2" s="525"/>
      <c r="EC2" s="525"/>
      <c r="ED2" s="525"/>
      <c r="EE2" s="525"/>
      <c r="EF2" s="525"/>
      <c r="EG2" s="525"/>
      <c r="EH2" s="525"/>
      <c r="EI2" s="525"/>
      <c r="EJ2" s="525"/>
      <c r="EK2" s="525"/>
      <c r="EL2" s="525"/>
      <c r="EM2" s="525"/>
      <c r="EN2" s="525"/>
      <c r="EO2" s="525"/>
      <c r="EP2" s="525"/>
      <c r="EQ2" s="525"/>
      <c r="ER2" s="525"/>
      <c r="ES2" s="525"/>
      <c r="ET2" s="525"/>
      <c r="EU2" s="525"/>
      <c r="EV2" s="525"/>
      <c r="EW2" s="525"/>
      <c r="EX2" s="525"/>
      <c r="EY2" s="525"/>
      <c r="EZ2" s="525"/>
    </row>
    <row r="3" spans="1:156" s="1" customFormat="1" ht="25.9" customHeight="1" x14ac:dyDescent="0.2">
      <c r="A3" s="48" t="s">
        <v>513</v>
      </c>
      <c r="B3" s="109" t="s">
        <v>57</v>
      </c>
      <c r="C3" s="109" t="s">
        <v>514</v>
      </c>
      <c r="D3" s="96" t="s">
        <v>515</v>
      </c>
      <c r="E3" s="96"/>
      <c r="F3" s="109" t="s">
        <v>49</v>
      </c>
      <c r="G3" s="109" t="s">
        <v>516</v>
      </c>
      <c r="H3" s="96" t="s">
        <v>363</v>
      </c>
      <c r="I3" s="113">
        <v>42507</v>
      </c>
      <c r="J3" s="96">
        <v>43601</v>
      </c>
      <c r="K3" s="114">
        <v>245100</v>
      </c>
      <c r="L3" s="114"/>
      <c r="M3" s="96">
        <f t="shared" ref="M3:M35" si="0">AR3</f>
        <v>0</v>
      </c>
      <c r="N3" s="96"/>
      <c r="O3" s="96"/>
      <c r="P3" s="96">
        <f t="shared" ref="P3:P35" si="1">BE4</f>
        <v>0</v>
      </c>
      <c r="Q3" s="96"/>
      <c r="R3" s="96"/>
      <c r="S3" s="96">
        <f t="shared" ref="S3:S35" si="2">BR3</f>
        <v>0</v>
      </c>
      <c r="T3" s="96"/>
      <c r="U3" s="114"/>
      <c r="V3" s="96"/>
      <c r="W3" s="96"/>
      <c r="X3" s="96" t="s">
        <v>517</v>
      </c>
      <c r="Y3" s="96">
        <v>0</v>
      </c>
      <c r="Z3" s="96">
        <v>0</v>
      </c>
      <c r="AA3" s="96" t="s">
        <v>53</v>
      </c>
      <c r="AB3" s="96" t="s">
        <v>53</v>
      </c>
      <c r="AC3" s="96" t="s">
        <v>53</v>
      </c>
      <c r="AD3" s="96" t="s">
        <v>54</v>
      </c>
      <c r="AE3" s="109" t="s">
        <v>331</v>
      </c>
      <c r="AF3" s="96"/>
      <c r="AG3" s="96"/>
      <c r="AH3" s="96"/>
      <c r="AI3" s="96"/>
      <c r="AJ3" s="96"/>
      <c r="AK3" s="96"/>
      <c r="AL3" s="96"/>
      <c r="AM3" s="96"/>
      <c r="AN3" s="96"/>
      <c r="AO3" s="96"/>
      <c r="AP3" s="96"/>
      <c r="AQ3" s="96"/>
      <c r="AR3" s="97"/>
      <c r="AS3" s="96"/>
      <c r="AT3" s="96"/>
      <c r="AU3" s="96"/>
      <c r="AV3" s="96"/>
      <c r="AW3" s="96"/>
      <c r="AX3" s="96"/>
      <c r="AY3" s="96"/>
      <c r="AZ3" s="96"/>
      <c r="BA3" s="96"/>
      <c r="BB3" s="96"/>
      <c r="BC3" s="96"/>
      <c r="BD3" s="96"/>
      <c r="BE3" s="97"/>
      <c r="BF3" s="96"/>
      <c r="BG3" s="96"/>
      <c r="BH3" s="96"/>
      <c r="BI3" s="96"/>
      <c r="BJ3" s="96"/>
      <c r="BK3" s="96"/>
      <c r="BL3" s="96"/>
      <c r="BM3" s="96"/>
      <c r="BN3" s="96"/>
      <c r="BO3" s="96"/>
      <c r="BP3" s="96"/>
      <c r="BQ3" s="96"/>
      <c r="BR3" s="126"/>
      <c r="BS3" s="19"/>
      <c r="BT3" s="19"/>
      <c r="BU3" s="19"/>
      <c r="BV3" s="19"/>
      <c r="BW3" s="19"/>
      <c r="BX3" s="19"/>
      <c r="BY3" s="19"/>
      <c r="BZ3" s="19"/>
      <c r="CA3" s="19"/>
      <c r="CB3" s="19"/>
      <c r="CC3" s="19"/>
      <c r="CD3" s="19"/>
      <c r="CE3" s="19"/>
      <c r="CF3" s="19"/>
      <c r="CG3" s="19"/>
      <c r="CH3" s="19"/>
      <c r="CI3" s="19"/>
      <c r="CJ3" s="19"/>
      <c r="CK3" s="19"/>
      <c r="CL3" s="19"/>
      <c r="CM3" s="19"/>
      <c r="CN3" s="19"/>
      <c r="CO3" s="19"/>
      <c r="CP3" s="19"/>
      <c r="CQ3" s="19"/>
      <c r="CR3" s="19"/>
      <c r="CS3" s="19"/>
      <c r="CT3" s="19"/>
      <c r="CU3" s="19"/>
      <c r="CV3" s="19"/>
      <c r="CW3" s="19"/>
      <c r="CX3" s="19"/>
      <c r="CY3" s="19"/>
      <c r="CZ3" s="19"/>
      <c r="DA3" s="19"/>
      <c r="DB3" s="19"/>
      <c r="DO3" s="1">
        <f t="shared" ref="DO3:DO66" si="3">SUM(DC3:DN3)</f>
        <v>0</v>
      </c>
      <c r="DP3" s="526"/>
    </row>
    <row r="4" spans="1:156" s="1" customFormat="1" ht="25.9" customHeight="1" x14ac:dyDescent="0.2">
      <c r="A4" s="6" t="s">
        <v>518</v>
      </c>
      <c r="B4" s="33" t="s">
        <v>57</v>
      </c>
      <c r="C4" s="33" t="s">
        <v>519</v>
      </c>
      <c r="D4" s="1" t="s">
        <v>520</v>
      </c>
      <c r="E4" s="1" t="s">
        <v>521</v>
      </c>
      <c r="F4" s="33" t="s">
        <v>49</v>
      </c>
      <c r="G4" s="33" t="s">
        <v>522</v>
      </c>
      <c r="H4" s="1" t="s">
        <v>523</v>
      </c>
      <c r="I4" s="115">
        <v>42069</v>
      </c>
      <c r="J4" s="115">
        <v>42069</v>
      </c>
      <c r="K4" s="116">
        <v>597303</v>
      </c>
      <c r="L4" s="116">
        <v>597303</v>
      </c>
      <c r="M4" s="1">
        <f t="shared" si="0"/>
        <v>0</v>
      </c>
      <c r="P4" s="1">
        <f t="shared" si="1"/>
        <v>0</v>
      </c>
      <c r="S4" s="1">
        <f t="shared" si="2"/>
        <v>0</v>
      </c>
      <c r="U4" s="116">
        <v>0</v>
      </c>
      <c r="X4" s="1" t="s">
        <v>517</v>
      </c>
      <c r="Y4" s="1">
        <v>0</v>
      </c>
      <c r="Z4" s="1">
        <v>0</v>
      </c>
      <c r="AA4" s="1" t="s">
        <v>53</v>
      </c>
      <c r="AB4" s="1" t="s">
        <v>53</v>
      </c>
      <c r="AC4" s="1" t="s">
        <v>53</v>
      </c>
      <c r="AD4" s="1" t="s">
        <v>524</v>
      </c>
      <c r="AE4" s="33" t="s">
        <v>525</v>
      </c>
      <c r="AF4" s="7"/>
      <c r="AG4" s="7"/>
      <c r="AH4" s="7"/>
      <c r="AI4" s="7"/>
      <c r="AJ4" s="7"/>
      <c r="AK4" s="7"/>
      <c r="AL4" s="7"/>
      <c r="AM4" s="7"/>
      <c r="AN4" s="7"/>
      <c r="AO4" s="7"/>
      <c r="AP4" s="7"/>
      <c r="AQ4" s="7"/>
      <c r="AR4" s="130"/>
      <c r="AS4" s="9"/>
      <c r="AT4" s="9"/>
      <c r="AU4" s="9"/>
      <c r="AV4" s="9"/>
      <c r="AW4" s="9"/>
      <c r="AX4" s="9"/>
      <c r="AY4" s="9"/>
      <c r="AZ4" s="9"/>
      <c r="BA4" s="9"/>
      <c r="BB4" s="9"/>
      <c r="BC4" s="9"/>
      <c r="BD4" s="9"/>
      <c r="BE4" s="130"/>
      <c r="BF4" s="9"/>
      <c r="BG4" s="9"/>
      <c r="BH4" s="9"/>
      <c r="BI4" s="9"/>
      <c r="BJ4" s="9"/>
      <c r="BK4" s="9"/>
      <c r="BL4" s="9"/>
      <c r="BM4" s="9"/>
      <c r="BN4" s="9"/>
      <c r="BO4" s="9"/>
      <c r="BP4" s="9"/>
      <c r="BQ4" s="9"/>
      <c r="BR4" s="127"/>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O4" s="1">
        <f t="shared" si="3"/>
        <v>0</v>
      </c>
      <c r="DP4" s="526"/>
    </row>
    <row r="5" spans="1:156" s="1" customFormat="1" ht="25.9" customHeight="1" x14ac:dyDescent="0.2">
      <c r="A5" s="6" t="s">
        <v>526</v>
      </c>
      <c r="B5" s="33" t="s">
        <v>57</v>
      </c>
      <c r="C5" s="33" t="s">
        <v>527</v>
      </c>
      <c r="D5" s="1" t="s">
        <v>528</v>
      </c>
      <c r="E5" s="1" t="s">
        <v>529</v>
      </c>
      <c r="F5" s="33" t="s">
        <v>49</v>
      </c>
      <c r="G5" s="33" t="s">
        <v>516</v>
      </c>
      <c r="H5" s="1" t="s">
        <v>61</v>
      </c>
      <c r="I5" s="115">
        <v>42082</v>
      </c>
      <c r="J5" s="115">
        <v>42266</v>
      </c>
      <c r="K5" s="116">
        <v>2900376.6</v>
      </c>
      <c r="L5" s="116">
        <v>2890386.4</v>
      </c>
      <c r="M5" s="1">
        <f t="shared" si="0"/>
        <v>0</v>
      </c>
      <c r="P5" s="1">
        <f t="shared" si="1"/>
        <v>0</v>
      </c>
      <c r="S5" s="1">
        <f t="shared" si="2"/>
        <v>0</v>
      </c>
      <c r="U5" s="116">
        <v>9990.2000000001863</v>
      </c>
      <c r="X5" s="1" t="s">
        <v>517</v>
      </c>
      <c r="Y5" s="1">
        <v>0</v>
      </c>
      <c r="Z5" s="1">
        <v>0</v>
      </c>
      <c r="AA5" s="1" t="s">
        <v>53</v>
      </c>
      <c r="AB5" s="1" t="s">
        <v>530</v>
      </c>
      <c r="AC5" s="1" t="s">
        <v>53</v>
      </c>
      <c r="AD5" s="1" t="s">
        <v>524</v>
      </c>
      <c r="AE5" s="33" t="s">
        <v>531</v>
      </c>
      <c r="AF5" s="7"/>
      <c r="AG5" s="7"/>
      <c r="AH5" s="7"/>
      <c r="AI5" s="7"/>
      <c r="AJ5" s="7"/>
      <c r="AK5" s="7"/>
      <c r="AL5" s="7"/>
      <c r="AM5" s="7"/>
      <c r="AN5" s="7"/>
      <c r="AO5" s="7"/>
      <c r="AP5" s="7"/>
      <c r="AQ5" s="7"/>
      <c r="AR5" s="130"/>
      <c r="AS5" s="9"/>
      <c r="AT5" s="9"/>
      <c r="AU5" s="9"/>
      <c r="AV5" s="9"/>
      <c r="AW5" s="9"/>
      <c r="AX5" s="9"/>
      <c r="AY5" s="9"/>
      <c r="AZ5" s="9"/>
      <c r="BA5" s="9"/>
      <c r="BB5" s="9"/>
      <c r="BC5" s="9"/>
      <c r="BD5" s="9"/>
      <c r="BE5" s="130"/>
      <c r="BF5" s="9"/>
      <c r="BG5" s="9"/>
      <c r="BH5" s="9"/>
      <c r="BI5" s="9"/>
      <c r="BJ5" s="9"/>
      <c r="BK5" s="9"/>
      <c r="BL5" s="9"/>
      <c r="BM5" s="9"/>
      <c r="BN5" s="9"/>
      <c r="BO5" s="9"/>
      <c r="BP5" s="9"/>
      <c r="BQ5" s="9"/>
      <c r="BR5" s="127"/>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O5" s="1">
        <f t="shared" si="3"/>
        <v>0</v>
      </c>
      <c r="DP5" s="526"/>
    </row>
    <row r="6" spans="1:156" s="1" customFormat="1" ht="25.9" customHeight="1" x14ac:dyDescent="0.2">
      <c r="A6" s="6" t="s">
        <v>532</v>
      </c>
      <c r="B6" s="33" t="s">
        <v>57</v>
      </c>
      <c r="C6" s="33" t="s">
        <v>533</v>
      </c>
      <c r="D6" s="1" t="s">
        <v>534</v>
      </c>
      <c r="E6" s="1" t="s">
        <v>535</v>
      </c>
      <c r="F6" s="33" t="s">
        <v>49</v>
      </c>
      <c r="G6" s="33" t="s">
        <v>536</v>
      </c>
      <c r="H6" s="1" t="s">
        <v>61</v>
      </c>
      <c r="I6" s="115">
        <v>41625</v>
      </c>
      <c r="J6" s="115">
        <v>41990</v>
      </c>
      <c r="K6" s="116">
        <v>3928736.27</v>
      </c>
      <c r="L6" s="116">
        <v>3855190.32</v>
      </c>
      <c r="M6" s="1">
        <f t="shared" si="0"/>
        <v>0</v>
      </c>
      <c r="P6" s="1">
        <f t="shared" si="1"/>
        <v>0</v>
      </c>
      <c r="S6" s="1">
        <f t="shared" si="2"/>
        <v>0</v>
      </c>
      <c r="U6" s="116">
        <v>73545.950000000186</v>
      </c>
      <c r="X6" s="1" t="s">
        <v>517</v>
      </c>
      <c r="Y6" s="1">
        <v>0</v>
      </c>
      <c r="Z6" s="1">
        <v>0</v>
      </c>
      <c r="AA6" s="1" t="s">
        <v>53</v>
      </c>
      <c r="AB6" s="1" t="s">
        <v>530</v>
      </c>
      <c r="AC6" s="1" t="s">
        <v>53</v>
      </c>
      <c r="AD6" s="1" t="s">
        <v>524</v>
      </c>
      <c r="AE6" s="33" t="s">
        <v>537</v>
      </c>
      <c r="AF6" s="7"/>
      <c r="AG6" s="7"/>
      <c r="AH6" s="7"/>
      <c r="AI6" s="7"/>
      <c r="AJ6" s="7"/>
      <c r="AK6" s="7"/>
      <c r="AL6" s="7"/>
      <c r="AM6" s="7"/>
      <c r="AN6" s="7"/>
      <c r="AO6" s="7"/>
      <c r="AP6" s="7"/>
      <c r="AQ6" s="7"/>
      <c r="AR6" s="130"/>
      <c r="AS6" s="9"/>
      <c r="AT6" s="9"/>
      <c r="AU6" s="9"/>
      <c r="AV6" s="9"/>
      <c r="AW6" s="9"/>
      <c r="AX6" s="9"/>
      <c r="AY6" s="9"/>
      <c r="AZ6" s="9"/>
      <c r="BA6" s="9"/>
      <c r="BB6" s="9"/>
      <c r="BC6" s="9"/>
      <c r="BD6" s="9"/>
      <c r="BE6" s="130"/>
      <c r="BF6" s="9"/>
      <c r="BG6" s="9"/>
      <c r="BH6" s="9"/>
      <c r="BI6" s="9"/>
      <c r="BJ6" s="9"/>
      <c r="BK6" s="9"/>
      <c r="BL6" s="9"/>
      <c r="BM6" s="9"/>
      <c r="BN6" s="9"/>
      <c r="BO6" s="9"/>
      <c r="BP6" s="9"/>
      <c r="BQ6" s="9"/>
      <c r="BR6" s="127"/>
      <c r="BS6" s="19"/>
      <c r="BT6" s="19"/>
      <c r="BU6" s="19"/>
      <c r="BV6" s="19"/>
      <c r="BW6" s="19"/>
      <c r="BX6" s="19"/>
      <c r="BY6" s="19"/>
      <c r="BZ6" s="19"/>
      <c r="CA6" s="19"/>
      <c r="CB6" s="19"/>
      <c r="CC6" s="19"/>
      <c r="CD6" s="19"/>
      <c r="CE6" s="19"/>
      <c r="CF6" s="19"/>
      <c r="CG6" s="19"/>
      <c r="CH6" s="19"/>
      <c r="CI6" s="19"/>
      <c r="CJ6" s="19"/>
      <c r="CK6" s="19"/>
      <c r="CL6" s="19"/>
      <c r="CM6" s="19"/>
      <c r="CN6" s="19"/>
      <c r="CO6" s="19"/>
      <c r="CP6" s="19"/>
      <c r="CQ6" s="19"/>
      <c r="CR6" s="19"/>
      <c r="CS6" s="19"/>
      <c r="CT6" s="19"/>
      <c r="CU6" s="19"/>
      <c r="CV6" s="19"/>
      <c r="CW6" s="19"/>
      <c r="CX6" s="19"/>
      <c r="CY6" s="19"/>
      <c r="CZ6" s="19"/>
      <c r="DA6" s="19"/>
      <c r="DB6" s="19"/>
      <c r="DO6" s="1">
        <f t="shared" si="3"/>
        <v>0</v>
      </c>
      <c r="DP6" s="526"/>
    </row>
    <row r="7" spans="1:156" s="1" customFormat="1" ht="25.9" customHeight="1" x14ac:dyDescent="0.2">
      <c r="A7" s="6" t="s">
        <v>538</v>
      </c>
      <c r="B7" s="33" t="s">
        <v>57</v>
      </c>
      <c r="C7" s="33" t="s">
        <v>539</v>
      </c>
      <c r="D7" s="1" t="s">
        <v>540</v>
      </c>
      <c r="E7" s="1" t="s">
        <v>541</v>
      </c>
      <c r="F7" s="33" t="s">
        <v>49</v>
      </c>
      <c r="G7" s="33" t="s">
        <v>516</v>
      </c>
      <c r="H7" s="1" t="s">
        <v>61</v>
      </c>
      <c r="I7" s="115">
        <v>41955</v>
      </c>
      <c r="J7" s="115">
        <v>42094</v>
      </c>
      <c r="K7" s="116">
        <v>2831665</v>
      </c>
      <c r="L7" s="116">
        <v>2831665.38</v>
      </c>
      <c r="M7" s="1">
        <f t="shared" si="0"/>
        <v>0</v>
      </c>
      <c r="P7" s="1">
        <f t="shared" si="1"/>
        <v>0</v>
      </c>
      <c r="S7" s="1">
        <f t="shared" si="2"/>
        <v>0</v>
      </c>
      <c r="U7" s="116">
        <v>-0.37999999988824129</v>
      </c>
      <c r="X7" s="1" t="s">
        <v>517</v>
      </c>
      <c r="Y7" s="1">
        <v>0</v>
      </c>
      <c r="Z7" s="1">
        <v>0</v>
      </c>
      <c r="AA7" s="1" t="s">
        <v>53</v>
      </c>
      <c r="AB7" s="1" t="s">
        <v>530</v>
      </c>
      <c r="AC7" s="1" t="s">
        <v>53</v>
      </c>
      <c r="AD7" s="1" t="s">
        <v>524</v>
      </c>
      <c r="AE7" s="33" t="s">
        <v>542</v>
      </c>
      <c r="AF7" s="7"/>
      <c r="AG7" s="7"/>
      <c r="AH7" s="7"/>
      <c r="AI7" s="7"/>
      <c r="AJ7" s="7"/>
      <c r="AK7" s="7"/>
      <c r="AL7" s="7"/>
      <c r="AM7" s="7"/>
      <c r="AN7" s="7"/>
      <c r="AO7" s="7"/>
      <c r="AP7" s="7"/>
      <c r="AQ7" s="7"/>
      <c r="AR7" s="130"/>
      <c r="AS7" s="9"/>
      <c r="AT7" s="9"/>
      <c r="AU7" s="9"/>
      <c r="AV7" s="9"/>
      <c r="AW7" s="9"/>
      <c r="AX7" s="9"/>
      <c r="AY7" s="9"/>
      <c r="AZ7" s="9"/>
      <c r="BA7" s="9"/>
      <c r="BB7" s="9"/>
      <c r="BC7" s="9"/>
      <c r="BD7" s="9"/>
      <c r="BE7" s="130"/>
      <c r="BF7" s="9"/>
      <c r="BG7" s="9"/>
      <c r="BH7" s="9"/>
      <c r="BI7" s="9"/>
      <c r="BJ7" s="9"/>
      <c r="BK7" s="9"/>
      <c r="BL7" s="9"/>
      <c r="BM7" s="9"/>
      <c r="BN7" s="9"/>
      <c r="BO7" s="9"/>
      <c r="BP7" s="9"/>
      <c r="BQ7" s="9"/>
      <c r="BR7" s="127"/>
      <c r="BS7" s="19"/>
      <c r="BT7" s="19"/>
      <c r="BU7" s="19"/>
      <c r="BV7" s="19"/>
      <c r="BW7" s="19"/>
      <c r="BX7" s="19"/>
      <c r="BY7" s="19"/>
      <c r="BZ7" s="19"/>
      <c r="CA7" s="19"/>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O7" s="1">
        <f t="shared" si="3"/>
        <v>0</v>
      </c>
      <c r="DP7" s="526"/>
    </row>
    <row r="8" spans="1:156" s="1" customFormat="1" ht="25.9" customHeight="1" x14ac:dyDescent="0.2">
      <c r="A8" s="6" t="s">
        <v>543</v>
      </c>
      <c r="B8" s="33" t="s">
        <v>57</v>
      </c>
      <c r="C8" s="33" t="s">
        <v>544</v>
      </c>
      <c r="D8" s="1" t="s">
        <v>545</v>
      </c>
      <c r="E8" s="1" t="s">
        <v>546</v>
      </c>
      <c r="F8" s="33" t="s">
        <v>49</v>
      </c>
      <c r="G8" s="33" t="s">
        <v>547</v>
      </c>
      <c r="H8" s="1" t="s">
        <v>61</v>
      </c>
      <c r="I8" s="115">
        <v>41689</v>
      </c>
      <c r="J8" s="115">
        <v>42054</v>
      </c>
      <c r="K8" s="116">
        <v>14515750</v>
      </c>
      <c r="L8" s="116">
        <v>12177847.720000001</v>
      </c>
      <c r="M8" s="1">
        <f t="shared" si="0"/>
        <v>0</v>
      </c>
      <c r="P8" s="1">
        <f t="shared" si="1"/>
        <v>0</v>
      </c>
      <c r="S8" s="1">
        <f t="shared" si="2"/>
        <v>0</v>
      </c>
      <c r="U8" s="116">
        <v>2337902.2799999993</v>
      </c>
      <c r="X8" s="1" t="s">
        <v>517</v>
      </c>
      <c r="Y8" s="1">
        <v>0</v>
      </c>
      <c r="Z8" s="1">
        <v>0</v>
      </c>
      <c r="AA8" s="1" t="s">
        <v>53</v>
      </c>
      <c r="AB8" s="1" t="s">
        <v>530</v>
      </c>
      <c r="AC8" s="1" t="s">
        <v>53</v>
      </c>
      <c r="AD8" s="1" t="s">
        <v>524</v>
      </c>
      <c r="AE8" s="33" t="s">
        <v>548</v>
      </c>
      <c r="AF8" s="7"/>
      <c r="AG8" s="7"/>
      <c r="AH8" s="7"/>
      <c r="AI8" s="7"/>
      <c r="AJ8" s="7"/>
      <c r="AK8" s="7"/>
      <c r="AL8" s="7"/>
      <c r="AM8" s="7"/>
      <c r="AN8" s="7"/>
      <c r="AO8" s="7"/>
      <c r="AP8" s="7"/>
      <c r="AQ8" s="7"/>
      <c r="AR8" s="130"/>
      <c r="AS8" s="9"/>
      <c r="AT8" s="9"/>
      <c r="AU8" s="9"/>
      <c r="AV8" s="9"/>
      <c r="AW8" s="9"/>
      <c r="AX8" s="9"/>
      <c r="AY8" s="9"/>
      <c r="AZ8" s="9"/>
      <c r="BA8" s="9"/>
      <c r="BB8" s="9"/>
      <c r="BC8" s="9"/>
      <c r="BD8" s="9"/>
      <c r="BE8" s="130"/>
      <c r="BF8" s="9"/>
      <c r="BG8" s="9"/>
      <c r="BH8" s="9"/>
      <c r="BI8" s="9"/>
      <c r="BJ8" s="9"/>
      <c r="BK8" s="9"/>
      <c r="BL8" s="9"/>
      <c r="BM8" s="9"/>
      <c r="BN8" s="9"/>
      <c r="BO8" s="9"/>
      <c r="BP8" s="9"/>
      <c r="BQ8" s="9"/>
      <c r="BR8" s="127"/>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O8" s="1">
        <f t="shared" si="3"/>
        <v>0</v>
      </c>
      <c r="DP8" s="526"/>
    </row>
    <row r="9" spans="1:156" s="1" customFormat="1" ht="25.9" customHeight="1" x14ac:dyDescent="0.2">
      <c r="A9" s="6" t="s">
        <v>549</v>
      </c>
      <c r="B9" s="33" t="s">
        <v>57</v>
      </c>
      <c r="C9" s="33" t="s">
        <v>550</v>
      </c>
      <c r="D9" s="1" t="s">
        <v>551</v>
      </c>
      <c r="E9" s="1" t="s">
        <v>552</v>
      </c>
      <c r="F9" s="33" t="s">
        <v>49</v>
      </c>
      <c r="G9" s="33" t="s">
        <v>354</v>
      </c>
      <c r="H9" s="1" t="s">
        <v>389</v>
      </c>
      <c r="I9" s="115">
        <v>41881</v>
      </c>
      <c r="J9" s="115">
        <v>42063</v>
      </c>
      <c r="K9" s="116">
        <v>4499866</v>
      </c>
      <c r="L9" s="116">
        <v>2803136</v>
      </c>
      <c r="M9" s="1">
        <f t="shared" si="0"/>
        <v>0</v>
      </c>
      <c r="P9" s="1">
        <f t="shared" si="1"/>
        <v>0</v>
      </c>
      <c r="S9" s="1">
        <f t="shared" si="2"/>
        <v>0</v>
      </c>
      <c r="U9" s="116">
        <v>1696730</v>
      </c>
      <c r="X9" s="1" t="s">
        <v>517</v>
      </c>
      <c r="Y9" s="1">
        <v>0</v>
      </c>
      <c r="Z9" s="1">
        <v>0</v>
      </c>
      <c r="AA9" s="1" t="s">
        <v>53</v>
      </c>
      <c r="AB9" s="1" t="s">
        <v>53</v>
      </c>
      <c r="AC9" s="1" t="s">
        <v>53</v>
      </c>
      <c r="AD9" s="1" t="s">
        <v>524</v>
      </c>
      <c r="AE9" s="33" t="s">
        <v>553</v>
      </c>
      <c r="AF9" s="7"/>
      <c r="AG9" s="7"/>
      <c r="AH9" s="7"/>
      <c r="AI9" s="7"/>
      <c r="AJ9" s="7"/>
      <c r="AK9" s="7"/>
      <c r="AL9" s="7"/>
      <c r="AM9" s="7"/>
      <c r="AN9" s="7"/>
      <c r="AO9" s="7"/>
      <c r="AP9" s="7"/>
      <c r="AQ9" s="7"/>
      <c r="AR9" s="130"/>
      <c r="AS9" s="9"/>
      <c r="AT9" s="9"/>
      <c r="AU9" s="9"/>
      <c r="AV9" s="9"/>
      <c r="AW9" s="9"/>
      <c r="AX9" s="9"/>
      <c r="AY9" s="9"/>
      <c r="AZ9" s="9"/>
      <c r="BA9" s="9"/>
      <c r="BB9" s="9"/>
      <c r="BC9" s="9"/>
      <c r="BD9" s="9"/>
      <c r="BE9" s="130"/>
      <c r="BF9" s="9"/>
      <c r="BG9" s="9"/>
      <c r="BH9" s="9"/>
      <c r="BI9" s="9"/>
      <c r="BJ9" s="9"/>
      <c r="BK9" s="9"/>
      <c r="BL9" s="9"/>
      <c r="BM9" s="9"/>
      <c r="BN9" s="9"/>
      <c r="BO9" s="9"/>
      <c r="BP9" s="9"/>
      <c r="BQ9" s="9"/>
      <c r="BR9" s="127"/>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O9" s="1">
        <f t="shared" si="3"/>
        <v>0</v>
      </c>
      <c r="DP9" s="526"/>
    </row>
    <row r="10" spans="1:156" s="1" customFormat="1" ht="25.9" customHeight="1" x14ac:dyDescent="0.2">
      <c r="A10" s="6" t="s">
        <v>554</v>
      </c>
      <c r="B10" s="33" t="s">
        <v>57</v>
      </c>
      <c r="C10" s="33" t="s">
        <v>555</v>
      </c>
      <c r="D10" s="1" t="s">
        <v>556</v>
      </c>
      <c r="E10" s="1" t="s">
        <v>557</v>
      </c>
      <c r="F10" s="33" t="s">
        <v>49</v>
      </c>
      <c r="G10" s="33" t="s">
        <v>315</v>
      </c>
      <c r="H10" s="1" t="s">
        <v>61</v>
      </c>
      <c r="I10" s="115">
        <v>41929</v>
      </c>
      <c r="J10" s="115">
        <v>42097</v>
      </c>
      <c r="K10" s="116">
        <v>2266497</v>
      </c>
      <c r="L10" s="116">
        <v>2210414.0500000003</v>
      </c>
      <c r="M10" s="1">
        <f t="shared" si="0"/>
        <v>0</v>
      </c>
      <c r="P10" s="1">
        <f t="shared" si="1"/>
        <v>0</v>
      </c>
      <c r="S10" s="1">
        <f t="shared" si="2"/>
        <v>0</v>
      </c>
      <c r="U10" s="116">
        <v>56082.949999999721</v>
      </c>
      <c r="X10" s="1" t="s">
        <v>517</v>
      </c>
      <c r="Y10" s="1">
        <v>0</v>
      </c>
      <c r="Z10" s="1">
        <v>0</v>
      </c>
      <c r="AA10" s="1" t="s">
        <v>53</v>
      </c>
      <c r="AB10" s="1" t="s">
        <v>530</v>
      </c>
      <c r="AC10" s="1" t="s">
        <v>53</v>
      </c>
      <c r="AD10" s="1" t="s">
        <v>524</v>
      </c>
      <c r="AE10" s="33" t="s">
        <v>558</v>
      </c>
      <c r="AF10" s="7"/>
      <c r="AG10" s="7"/>
      <c r="AH10" s="7"/>
      <c r="AI10" s="7"/>
      <c r="AJ10" s="7"/>
      <c r="AK10" s="7"/>
      <c r="AL10" s="7"/>
      <c r="AM10" s="7"/>
      <c r="AN10" s="7"/>
      <c r="AO10" s="7"/>
      <c r="AP10" s="7"/>
      <c r="AQ10" s="7"/>
      <c r="AR10" s="130"/>
      <c r="AS10" s="9"/>
      <c r="AT10" s="9"/>
      <c r="AU10" s="9"/>
      <c r="AV10" s="9"/>
      <c r="AW10" s="9"/>
      <c r="AX10" s="9"/>
      <c r="AY10" s="9"/>
      <c r="AZ10" s="9"/>
      <c r="BA10" s="9"/>
      <c r="BB10" s="9"/>
      <c r="BC10" s="9"/>
      <c r="BD10" s="9"/>
      <c r="BE10" s="130"/>
      <c r="BF10" s="9"/>
      <c r="BG10" s="9"/>
      <c r="BH10" s="9"/>
      <c r="BI10" s="9"/>
      <c r="BJ10" s="9"/>
      <c r="BK10" s="9"/>
      <c r="BL10" s="9"/>
      <c r="BM10" s="9"/>
      <c r="BN10" s="9"/>
      <c r="BO10" s="9"/>
      <c r="BP10" s="9"/>
      <c r="BQ10" s="9"/>
      <c r="BR10" s="127"/>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O10" s="1">
        <f t="shared" si="3"/>
        <v>0</v>
      </c>
      <c r="DP10" s="526"/>
    </row>
    <row r="11" spans="1:156" s="1" customFormat="1" ht="25.9" customHeight="1" x14ac:dyDescent="0.2">
      <c r="A11" s="6" t="s">
        <v>559</v>
      </c>
      <c r="B11" s="33" t="s">
        <v>57</v>
      </c>
      <c r="C11" s="33" t="s">
        <v>560</v>
      </c>
      <c r="D11" s="1" t="s">
        <v>561</v>
      </c>
      <c r="E11" s="1" t="s">
        <v>562</v>
      </c>
      <c r="F11" s="33" t="s">
        <v>49</v>
      </c>
      <c r="G11" s="33" t="s">
        <v>111</v>
      </c>
      <c r="H11" s="1" t="s">
        <v>563</v>
      </c>
      <c r="I11" s="115">
        <v>41803</v>
      </c>
      <c r="J11" s="115">
        <v>41887</v>
      </c>
      <c r="K11" s="116">
        <v>630000</v>
      </c>
      <c r="L11" s="116">
        <v>372000</v>
      </c>
      <c r="M11" s="1">
        <f t="shared" si="0"/>
        <v>0</v>
      </c>
      <c r="P11" s="1">
        <f t="shared" si="1"/>
        <v>0</v>
      </c>
      <c r="S11" s="1">
        <f t="shared" si="2"/>
        <v>0</v>
      </c>
      <c r="U11" s="116">
        <v>258000</v>
      </c>
      <c r="X11" s="1" t="s">
        <v>517</v>
      </c>
      <c r="Y11" s="1">
        <v>0</v>
      </c>
      <c r="Z11" s="1">
        <v>0</v>
      </c>
      <c r="AA11" s="1" t="s">
        <v>53</v>
      </c>
      <c r="AB11" s="1" t="s">
        <v>530</v>
      </c>
      <c r="AC11" s="1" t="s">
        <v>53</v>
      </c>
      <c r="AD11" s="1" t="s">
        <v>524</v>
      </c>
      <c r="AE11" s="33" t="s">
        <v>564</v>
      </c>
      <c r="AF11" s="7"/>
      <c r="AG11" s="7"/>
      <c r="AH11" s="7"/>
      <c r="AI11" s="7"/>
      <c r="AJ11" s="7"/>
      <c r="AK11" s="7"/>
      <c r="AL11" s="7"/>
      <c r="AM11" s="7"/>
      <c r="AN11" s="7"/>
      <c r="AO11" s="7"/>
      <c r="AP11" s="7"/>
      <c r="AQ11" s="7"/>
      <c r="AR11" s="130"/>
      <c r="AS11" s="9"/>
      <c r="AT11" s="9"/>
      <c r="AU11" s="9"/>
      <c r="AV11" s="9"/>
      <c r="AW11" s="9"/>
      <c r="AX11" s="9"/>
      <c r="AY11" s="9"/>
      <c r="AZ11" s="9"/>
      <c r="BA11" s="9"/>
      <c r="BB11" s="9"/>
      <c r="BC11" s="9"/>
      <c r="BD11" s="9"/>
      <c r="BE11" s="130"/>
      <c r="BF11" s="9"/>
      <c r="BG11" s="9"/>
      <c r="BH11" s="9"/>
      <c r="BI11" s="9"/>
      <c r="BJ11" s="9"/>
      <c r="BK11" s="9"/>
      <c r="BL11" s="9"/>
      <c r="BM11" s="9"/>
      <c r="BN11" s="9"/>
      <c r="BO11" s="9"/>
      <c r="BP11" s="9"/>
      <c r="BQ11" s="9"/>
      <c r="BR11" s="127"/>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O11" s="1">
        <f t="shared" si="3"/>
        <v>0</v>
      </c>
      <c r="DP11" s="526"/>
    </row>
    <row r="12" spans="1:156" s="1" customFormat="1" ht="25.9" customHeight="1" x14ac:dyDescent="0.2">
      <c r="A12" s="6" t="s">
        <v>565</v>
      </c>
      <c r="B12" s="33" t="s">
        <v>57</v>
      </c>
      <c r="C12" s="33" t="s">
        <v>566</v>
      </c>
      <c r="D12" s="1" t="s">
        <v>567</v>
      </c>
      <c r="E12" s="1" t="s">
        <v>568</v>
      </c>
      <c r="F12" s="33" t="s">
        <v>49</v>
      </c>
      <c r="G12" s="33" t="s">
        <v>569</v>
      </c>
      <c r="H12" s="1" t="s">
        <v>563</v>
      </c>
      <c r="I12" s="115">
        <v>41823</v>
      </c>
      <c r="J12" s="115">
        <v>41907</v>
      </c>
      <c r="K12" s="116">
        <v>233016</v>
      </c>
      <c r="L12" s="116">
        <v>4310714.9000000004</v>
      </c>
      <c r="M12" s="1">
        <f t="shared" si="0"/>
        <v>0</v>
      </c>
      <c r="P12" s="1">
        <f t="shared" si="1"/>
        <v>0</v>
      </c>
      <c r="S12" s="1">
        <f t="shared" si="2"/>
        <v>0</v>
      </c>
      <c r="U12" s="116">
        <v>-4077698.9000000004</v>
      </c>
      <c r="X12" s="1" t="s">
        <v>517</v>
      </c>
      <c r="Y12" s="1">
        <v>0</v>
      </c>
      <c r="Z12" s="1">
        <v>0</v>
      </c>
      <c r="AA12" s="1" t="s">
        <v>53</v>
      </c>
      <c r="AB12" s="1" t="s">
        <v>530</v>
      </c>
      <c r="AC12" s="1" t="s">
        <v>53</v>
      </c>
      <c r="AD12" s="1" t="s">
        <v>524</v>
      </c>
      <c r="AE12" s="33" t="s">
        <v>570</v>
      </c>
      <c r="AF12" s="7"/>
      <c r="AG12" s="7"/>
      <c r="AH12" s="7"/>
      <c r="AI12" s="7"/>
      <c r="AJ12" s="7"/>
      <c r="AK12" s="7"/>
      <c r="AL12" s="7"/>
      <c r="AM12" s="7"/>
      <c r="AN12" s="7"/>
      <c r="AO12" s="7"/>
      <c r="AP12" s="7"/>
      <c r="AQ12" s="7"/>
      <c r="AR12" s="130"/>
      <c r="AS12" s="9"/>
      <c r="AT12" s="9"/>
      <c r="AU12" s="9"/>
      <c r="AV12" s="9"/>
      <c r="AW12" s="9"/>
      <c r="AX12" s="9"/>
      <c r="AY12" s="9"/>
      <c r="AZ12" s="9"/>
      <c r="BA12" s="9"/>
      <c r="BB12" s="4"/>
      <c r="BC12" s="9"/>
      <c r="BD12" s="9"/>
      <c r="BE12" s="130"/>
      <c r="BF12" s="9"/>
      <c r="BG12" s="9"/>
      <c r="BH12" s="9"/>
      <c r="BI12" s="9"/>
      <c r="BJ12" s="9"/>
      <c r="BK12" s="9"/>
      <c r="BL12" s="9"/>
      <c r="BM12" s="9"/>
      <c r="BN12" s="9"/>
      <c r="BO12" s="9"/>
      <c r="BP12" s="9"/>
      <c r="BQ12" s="9"/>
      <c r="BR12" s="127"/>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O12" s="1">
        <f t="shared" si="3"/>
        <v>0</v>
      </c>
      <c r="DP12" s="526"/>
    </row>
    <row r="13" spans="1:156" s="1" customFormat="1" ht="25.9" customHeight="1" x14ac:dyDescent="0.2">
      <c r="A13" s="6" t="s">
        <v>571</v>
      </c>
      <c r="B13" s="33" t="s">
        <v>57</v>
      </c>
      <c r="C13" s="33" t="s">
        <v>572</v>
      </c>
      <c r="D13" s="65" t="s">
        <v>573</v>
      </c>
      <c r="E13" s="1" t="s">
        <v>314</v>
      </c>
      <c r="F13" s="33" t="s">
        <v>49</v>
      </c>
      <c r="G13" s="33" t="s">
        <v>547</v>
      </c>
      <c r="H13" s="1" t="s">
        <v>443</v>
      </c>
      <c r="I13" s="115">
        <v>42027</v>
      </c>
      <c r="J13" s="115">
        <v>43220</v>
      </c>
      <c r="K13" s="116">
        <v>8071302</v>
      </c>
      <c r="L13" s="116">
        <v>11851606.190000005</v>
      </c>
      <c r="M13" s="1">
        <f t="shared" si="0"/>
        <v>7959165.9900000002</v>
      </c>
      <c r="P13" s="1">
        <f t="shared" si="1"/>
        <v>0</v>
      </c>
      <c r="S13" s="1">
        <f t="shared" si="2"/>
        <v>0</v>
      </c>
      <c r="U13" s="116">
        <v>-3780304.1900000051</v>
      </c>
      <c r="X13" s="1" t="s">
        <v>52</v>
      </c>
      <c r="Y13" s="1">
        <v>3</v>
      </c>
      <c r="Z13" s="1">
        <v>0</v>
      </c>
      <c r="AA13" s="1" t="s">
        <v>53</v>
      </c>
      <c r="AB13" s="1" t="s">
        <v>530</v>
      </c>
      <c r="AC13" s="1" t="s">
        <v>53</v>
      </c>
      <c r="AD13" s="1" t="s">
        <v>524</v>
      </c>
      <c r="AE13" s="33" t="s">
        <v>574</v>
      </c>
      <c r="AF13" s="7">
        <v>578225.17000000004</v>
      </c>
      <c r="AG13" s="7">
        <f>114081.15+628209.19</f>
        <v>742290.34</v>
      </c>
      <c r="AH13" s="7">
        <v>639971.07999999996</v>
      </c>
      <c r="AI13" s="7">
        <v>639971.07999999996</v>
      </c>
      <c r="AJ13" s="7">
        <v>639971.07999999996</v>
      </c>
      <c r="AK13" s="7">
        <v>640523.07999999996</v>
      </c>
      <c r="AL13" s="7">
        <v>640523.06000000006</v>
      </c>
      <c r="AM13" s="7">
        <v>648551.67000000004</v>
      </c>
      <c r="AN13" s="7">
        <v>663471.93999999994</v>
      </c>
      <c r="AO13" s="7">
        <v>708555.83</v>
      </c>
      <c r="AP13" s="7">
        <v>708555.83</v>
      </c>
      <c r="AQ13" s="7">
        <v>708555.83</v>
      </c>
      <c r="AR13" s="130">
        <f>SUBTOTAL(9,AF13:AQ13)</f>
        <v>7959165.9900000002</v>
      </c>
      <c r="AS13" s="9"/>
      <c r="AT13" s="9"/>
      <c r="AU13" s="9"/>
      <c r="AV13" s="9"/>
      <c r="AW13" s="9"/>
      <c r="AX13" s="9"/>
      <c r="AY13" s="9"/>
      <c r="AZ13" s="9"/>
      <c r="BA13" s="9"/>
      <c r="BB13" s="4"/>
      <c r="BC13" s="9"/>
      <c r="BD13" s="9"/>
      <c r="BE13" s="130"/>
      <c r="BF13" s="9"/>
      <c r="BG13" s="9"/>
      <c r="BH13" s="9"/>
      <c r="BI13" s="9"/>
      <c r="BJ13" s="9"/>
      <c r="BK13" s="9"/>
      <c r="BL13" s="9"/>
      <c r="BM13" s="9"/>
      <c r="BN13" s="9"/>
      <c r="BO13" s="9"/>
      <c r="BP13" s="9"/>
      <c r="BQ13" s="9"/>
      <c r="BR13" s="127"/>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O13" s="1">
        <f t="shared" si="3"/>
        <v>0</v>
      </c>
      <c r="DP13" s="526"/>
    </row>
    <row r="14" spans="1:156" s="1" customFormat="1" ht="25.9" customHeight="1" x14ac:dyDescent="0.2">
      <c r="A14" s="6" t="s">
        <v>575</v>
      </c>
      <c r="B14" s="33" t="s">
        <v>57</v>
      </c>
      <c r="C14" s="33" t="s">
        <v>576</v>
      </c>
      <c r="D14" s="1" t="s">
        <v>577</v>
      </c>
      <c r="E14" s="1" t="s">
        <v>578</v>
      </c>
      <c r="F14" s="33" t="s">
        <v>49</v>
      </c>
      <c r="G14" s="33" t="s">
        <v>315</v>
      </c>
      <c r="H14" s="1" t="s">
        <v>61</v>
      </c>
      <c r="I14" s="115">
        <v>41828</v>
      </c>
      <c r="J14" s="115">
        <v>42020</v>
      </c>
      <c r="K14" s="116">
        <v>2639166.2799999998</v>
      </c>
      <c r="L14" s="116">
        <v>2282670.56</v>
      </c>
      <c r="M14" s="1">
        <f t="shared" si="0"/>
        <v>0</v>
      </c>
      <c r="P14" s="1">
        <f>BE16</f>
        <v>0</v>
      </c>
      <c r="S14" s="1">
        <f t="shared" si="2"/>
        <v>0</v>
      </c>
      <c r="U14" s="116">
        <v>356495.71999999974</v>
      </c>
      <c r="X14" s="1" t="s">
        <v>517</v>
      </c>
      <c r="Y14" s="1">
        <v>0</v>
      </c>
      <c r="Z14" s="1">
        <v>0</v>
      </c>
      <c r="AA14" s="1" t="s">
        <v>53</v>
      </c>
      <c r="AB14" s="1" t="s">
        <v>530</v>
      </c>
      <c r="AC14" s="1" t="s">
        <v>53</v>
      </c>
      <c r="AD14" s="1" t="s">
        <v>524</v>
      </c>
      <c r="AE14" s="33" t="s">
        <v>579</v>
      </c>
      <c r="AF14" s="7"/>
      <c r="AG14" s="7"/>
      <c r="AH14" s="7"/>
      <c r="AI14" s="7"/>
      <c r="AJ14" s="7"/>
      <c r="AK14" s="7"/>
      <c r="AL14" s="7"/>
      <c r="AM14" s="7"/>
      <c r="AN14" s="7"/>
      <c r="AO14" s="7"/>
      <c r="AP14" s="7"/>
      <c r="AQ14" s="7"/>
      <c r="AR14" s="130"/>
      <c r="AS14" s="9"/>
      <c r="AT14" s="9"/>
      <c r="AU14" s="9"/>
      <c r="AV14" s="9"/>
      <c r="AW14" s="9"/>
      <c r="AX14" s="9"/>
      <c r="AY14" s="9"/>
      <c r="AZ14" s="9"/>
      <c r="BA14" s="9"/>
      <c r="BB14" s="4"/>
      <c r="BC14" s="9"/>
      <c r="BD14" s="9"/>
      <c r="BE14" s="130"/>
      <c r="BF14" s="9"/>
      <c r="BG14" s="9"/>
      <c r="BH14" s="9"/>
      <c r="BI14" s="9"/>
      <c r="BJ14" s="9"/>
      <c r="BK14" s="9"/>
      <c r="BL14" s="9"/>
      <c r="BM14" s="9"/>
      <c r="BN14" s="9"/>
      <c r="BO14" s="9"/>
      <c r="BP14" s="9"/>
      <c r="BQ14" s="9"/>
      <c r="BR14" s="127"/>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O14" s="1">
        <f t="shared" si="3"/>
        <v>0</v>
      </c>
      <c r="DP14" s="526"/>
    </row>
    <row r="15" spans="1:156" s="10" customFormat="1" ht="40.15" customHeight="1" x14ac:dyDescent="0.2">
      <c r="A15" s="59" t="s">
        <v>44</v>
      </c>
      <c r="B15" s="59" t="s">
        <v>45</v>
      </c>
      <c r="C15" s="59" t="s">
        <v>46</v>
      </c>
      <c r="D15" s="47" t="s">
        <v>47</v>
      </c>
      <c r="E15" s="47" t="s">
        <v>48</v>
      </c>
      <c r="F15" s="47" t="s">
        <v>49</v>
      </c>
      <c r="G15" s="89" t="s">
        <v>50</v>
      </c>
      <c r="H15" s="59" t="s">
        <v>51</v>
      </c>
      <c r="I15" s="267">
        <v>43012</v>
      </c>
      <c r="J15" s="90">
        <v>44108</v>
      </c>
      <c r="K15" s="194">
        <v>28306813.5</v>
      </c>
      <c r="L15" s="152">
        <v>15073976.26</v>
      </c>
      <c r="M15" s="61">
        <f>AX15</f>
        <v>9415613.3735000007</v>
      </c>
      <c r="N15" s="61">
        <f>L15+M15</f>
        <v>24489589.633500002</v>
      </c>
      <c r="O15" s="153">
        <f>K15-N15</f>
        <v>3817223.8664999977</v>
      </c>
      <c r="P15" s="154">
        <f>N15</f>
        <v>24489589.633500002</v>
      </c>
      <c r="Q15" s="67">
        <f>BK15</f>
        <v>0</v>
      </c>
      <c r="R15" s="61">
        <f>P15+Q15</f>
        <v>24489589.633500002</v>
      </c>
      <c r="S15" s="155">
        <f>K15-R15</f>
        <v>3817223.8664999977</v>
      </c>
      <c r="T15" s="159">
        <f>R15</f>
        <v>24489589.633500002</v>
      </c>
      <c r="U15" s="61">
        <f>BX15</f>
        <v>0</v>
      </c>
      <c r="V15" s="61">
        <f>T15+U15</f>
        <v>24489589.633500002</v>
      </c>
      <c r="W15" s="215">
        <f>K15-V15</f>
        <v>3817223.8664999977</v>
      </c>
      <c r="X15" s="18">
        <f>V15</f>
        <v>24489589.633500002</v>
      </c>
      <c r="Y15" s="18">
        <f>CK15</f>
        <v>0</v>
      </c>
      <c r="Z15" s="18">
        <f>X15+Y15</f>
        <v>24489589.633500002</v>
      </c>
      <c r="AA15" s="18">
        <f>K15-Z15</f>
        <v>3817223.8664999977</v>
      </c>
      <c r="AB15" s="157">
        <v>0</v>
      </c>
      <c r="AC15" s="139">
        <v>36</v>
      </c>
      <c r="AD15" s="59" t="s">
        <v>1304</v>
      </c>
      <c r="AE15" s="68">
        <v>0</v>
      </c>
      <c r="AF15" s="68">
        <v>0</v>
      </c>
      <c r="AG15" s="68" t="s">
        <v>53</v>
      </c>
      <c r="AH15" s="68" t="s">
        <v>53</v>
      </c>
      <c r="AI15" s="68" t="s">
        <v>53</v>
      </c>
      <c r="AJ15" s="68" t="s">
        <v>54</v>
      </c>
      <c r="AK15" s="89" t="s">
        <v>55</v>
      </c>
      <c r="AL15" s="49"/>
      <c r="AM15" s="49"/>
      <c r="AN15" s="49">
        <v>3127013.1850000001</v>
      </c>
      <c r="AO15" s="49"/>
      <c r="AP15" s="49"/>
      <c r="AQ15" s="49"/>
      <c r="AR15" s="49"/>
      <c r="AS15" s="49"/>
      <c r="AT15" s="49"/>
      <c r="AU15" s="49"/>
      <c r="AV15" s="49"/>
      <c r="AW15" s="49">
        <v>6288600.1885000002</v>
      </c>
      <c r="AX15" s="86">
        <f>SUBTOTAL(9,AL15:AW15)</f>
        <v>9415613.3735000007</v>
      </c>
      <c r="AY15" s="91"/>
      <c r="AZ15" s="91"/>
      <c r="BA15" s="91"/>
      <c r="BB15" s="91"/>
      <c r="BC15" s="91"/>
      <c r="BD15" s="91"/>
      <c r="BE15" s="91"/>
      <c r="BF15" s="91"/>
      <c r="BG15" s="91"/>
      <c r="BH15" s="91"/>
      <c r="BI15" s="91"/>
      <c r="BJ15" s="91"/>
      <c r="BK15" s="86">
        <f>SUM(AY15:BJ15)</f>
        <v>0</v>
      </c>
      <c r="BL15" s="92"/>
      <c r="BM15" s="92"/>
      <c r="BN15" s="92"/>
      <c r="BO15" s="92"/>
      <c r="BP15" s="92"/>
      <c r="BQ15" s="92"/>
      <c r="BR15" s="92"/>
      <c r="BS15" s="92"/>
      <c r="BT15" s="92"/>
      <c r="BU15" s="92"/>
      <c r="BV15" s="92"/>
      <c r="BW15" s="93"/>
      <c r="BX15" s="94">
        <f>SUM(BL15:BW15)</f>
        <v>0</v>
      </c>
      <c r="BY15" s="112"/>
      <c r="BZ15" s="112"/>
      <c r="CA15" s="112"/>
      <c r="CB15" s="112"/>
      <c r="CC15" s="112"/>
      <c r="CD15" s="112"/>
      <c r="CE15" s="112"/>
      <c r="CF15" s="112"/>
      <c r="CG15" s="112"/>
      <c r="CH15" s="112"/>
      <c r="CI15" s="112"/>
      <c r="CJ15" s="112"/>
      <c r="CK15" s="112">
        <f>SUM(BY15:CJ15)</f>
        <v>0</v>
      </c>
      <c r="DC15" s="4"/>
      <c r="DD15" s="4"/>
      <c r="DE15" s="4"/>
      <c r="DF15" s="4"/>
      <c r="DG15" s="4"/>
      <c r="DH15" s="4"/>
      <c r="DI15" s="4"/>
      <c r="DJ15" s="4"/>
      <c r="DK15" s="4"/>
      <c r="DL15" s="4"/>
      <c r="DM15" s="4"/>
      <c r="DN15" s="4"/>
      <c r="DO15" s="4">
        <f t="shared" si="3"/>
        <v>0</v>
      </c>
    </row>
    <row r="16" spans="1:156" s="1" customFormat="1" ht="25.9" customHeight="1" x14ac:dyDescent="0.2">
      <c r="A16" s="6" t="s">
        <v>580</v>
      </c>
      <c r="B16" s="33" t="s">
        <v>57</v>
      </c>
      <c r="C16" s="33" t="s">
        <v>581</v>
      </c>
      <c r="D16" s="1" t="s">
        <v>582</v>
      </c>
      <c r="E16" s="1">
        <v>75488</v>
      </c>
      <c r="F16" s="33" t="s">
        <v>49</v>
      </c>
      <c r="G16" s="33" t="s">
        <v>315</v>
      </c>
      <c r="H16" s="1" t="s">
        <v>563</v>
      </c>
      <c r="I16" s="115">
        <v>41785</v>
      </c>
      <c r="J16" s="115">
        <v>41869</v>
      </c>
      <c r="K16" s="116" t="s">
        <v>583</v>
      </c>
      <c r="L16" s="116">
        <v>589189.54</v>
      </c>
      <c r="M16" s="1">
        <f t="shared" si="0"/>
        <v>0</v>
      </c>
      <c r="P16" s="1">
        <f t="shared" si="1"/>
        <v>0</v>
      </c>
      <c r="S16" s="1">
        <f t="shared" si="2"/>
        <v>0</v>
      </c>
      <c r="U16" s="116" t="e">
        <v>#VALUE!</v>
      </c>
      <c r="X16" s="1" t="s">
        <v>517</v>
      </c>
      <c r="Y16" s="1">
        <v>0</v>
      </c>
      <c r="Z16" s="1">
        <v>0</v>
      </c>
      <c r="AA16" s="1" t="s">
        <v>53</v>
      </c>
      <c r="AB16" s="1" t="s">
        <v>530</v>
      </c>
      <c r="AC16" s="1" t="s">
        <v>53</v>
      </c>
      <c r="AD16" s="1" t="s">
        <v>524</v>
      </c>
      <c r="AE16" s="33" t="s">
        <v>584</v>
      </c>
      <c r="AF16" s="7"/>
      <c r="AG16" s="7"/>
      <c r="AH16" s="7"/>
      <c r="AI16" s="7"/>
      <c r="AJ16" s="7"/>
      <c r="AK16" s="7"/>
      <c r="AL16" s="7"/>
      <c r="AM16" s="7"/>
      <c r="AN16" s="7"/>
      <c r="AO16" s="7"/>
      <c r="AP16" s="7"/>
      <c r="AQ16" s="7"/>
      <c r="AR16" s="130"/>
      <c r="AS16" s="9"/>
      <c r="AT16" s="9"/>
      <c r="AU16" s="9"/>
      <c r="AV16" s="9"/>
      <c r="AW16" s="9"/>
      <c r="AX16" s="9"/>
      <c r="AY16" s="9"/>
      <c r="AZ16" s="9"/>
      <c r="BA16" s="9"/>
      <c r="BB16" s="9"/>
      <c r="BC16" s="9"/>
      <c r="BD16" s="9"/>
      <c r="BE16" s="130"/>
      <c r="BF16" s="9"/>
      <c r="BG16" s="9"/>
      <c r="BH16" s="9"/>
      <c r="BI16" s="9"/>
      <c r="BJ16" s="9"/>
      <c r="BK16" s="9"/>
      <c r="BL16" s="9"/>
      <c r="BM16" s="9"/>
      <c r="BN16" s="9"/>
      <c r="BO16" s="9"/>
      <c r="BP16" s="9"/>
      <c r="BQ16" s="9"/>
      <c r="BR16" s="127"/>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O16" s="1">
        <f t="shared" si="3"/>
        <v>0</v>
      </c>
      <c r="DP16" s="526"/>
    </row>
    <row r="17" spans="1:120" s="1" customFormat="1" ht="25.9" customHeight="1" x14ac:dyDescent="0.2">
      <c r="A17" s="6" t="s">
        <v>585</v>
      </c>
      <c r="B17" s="33" t="s">
        <v>57</v>
      </c>
      <c r="C17" s="33" t="s">
        <v>586</v>
      </c>
      <c r="D17" s="1" t="s">
        <v>587</v>
      </c>
      <c r="E17" s="1" t="s">
        <v>588</v>
      </c>
      <c r="F17" s="33" t="s">
        <v>49</v>
      </c>
      <c r="G17" s="33" t="s">
        <v>315</v>
      </c>
      <c r="H17" s="1" t="s">
        <v>61</v>
      </c>
      <c r="I17" s="115">
        <v>42084</v>
      </c>
      <c r="J17" s="115">
        <v>42268</v>
      </c>
      <c r="K17" s="116">
        <v>2024457.98</v>
      </c>
      <c r="L17" s="116">
        <v>1900997.3099999998</v>
      </c>
      <c r="M17" s="1">
        <f t="shared" si="0"/>
        <v>0</v>
      </c>
      <c r="P17" s="1">
        <f t="shared" si="1"/>
        <v>0</v>
      </c>
      <c r="S17" s="1">
        <f t="shared" si="2"/>
        <v>0</v>
      </c>
      <c r="U17" s="116">
        <v>123460.67000000016</v>
      </c>
      <c r="X17" s="1" t="s">
        <v>517</v>
      </c>
      <c r="Y17" s="1">
        <v>0</v>
      </c>
      <c r="Z17" s="1">
        <v>0</v>
      </c>
      <c r="AA17" s="1" t="s">
        <v>53</v>
      </c>
      <c r="AB17" s="1" t="s">
        <v>530</v>
      </c>
      <c r="AC17" s="1" t="s">
        <v>53</v>
      </c>
      <c r="AD17" s="1" t="s">
        <v>524</v>
      </c>
      <c r="AE17" s="33" t="s">
        <v>589</v>
      </c>
      <c r="AF17" s="7"/>
      <c r="AG17" s="7"/>
      <c r="AH17" s="7"/>
      <c r="AI17" s="7"/>
      <c r="AJ17" s="7"/>
      <c r="AK17" s="7"/>
      <c r="AL17" s="7"/>
      <c r="AM17" s="7"/>
      <c r="AN17" s="7"/>
      <c r="AO17" s="7"/>
      <c r="AP17" s="7"/>
      <c r="AQ17" s="7"/>
      <c r="AR17" s="130"/>
      <c r="AS17" s="9"/>
      <c r="AT17" s="9"/>
      <c r="AU17" s="9"/>
      <c r="AV17" s="9"/>
      <c r="AW17" s="9"/>
      <c r="AX17" s="9"/>
      <c r="AY17" s="9"/>
      <c r="AZ17" s="9"/>
      <c r="BA17" s="9"/>
      <c r="BB17" s="9"/>
      <c r="BC17" s="9"/>
      <c r="BD17" s="9"/>
      <c r="BE17" s="130"/>
      <c r="BF17" s="9"/>
      <c r="BG17" s="9"/>
      <c r="BH17" s="9"/>
      <c r="BI17" s="9"/>
      <c r="BJ17" s="9"/>
      <c r="BK17" s="9"/>
      <c r="BL17" s="9"/>
      <c r="BM17" s="9"/>
      <c r="BN17" s="9"/>
      <c r="BO17" s="9"/>
      <c r="BP17" s="9"/>
      <c r="BQ17" s="9"/>
      <c r="BR17" s="127"/>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O17" s="1">
        <f t="shared" si="3"/>
        <v>0</v>
      </c>
      <c r="DP17" s="526"/>
    </row>
    <row r="18" spans="1:120" s="1" customFormat="1" ht="25.9" customHeight="1" x14ac:dyDescent="0.2">
      <c r="A18" s="6" t="s">
        <v>590</v>
      </c>
      <c r="B18" s="33" t="s">
        <v>57</v>
      </c>
      <c r="C18" s="33" t="s">
        <v>591</v>
      </c>
      <c r="D18" s="1" t="s">
        <v>592</v>
      </c>
      <c r="E18" s="1" t="s">
        <v>593</v>
      </c>
      <c r="F18" s="33" t="s">
        <v>49</v>
      </c>
      <c r="G18" s="33" t="s">
        <v>315</v>
      </c>
      <c r="H18" s="1" t="s">
        <v>563</v>
      </c>
      <c r="I18" s="115">
        <v>41785</v>
      </c>
      <c r="J18" s="115">
        <v>41969</v>
      </c>
      <c r="K18" s="116">
        <v>300000</v>
      </c>
      <c r="L18" s="116">
        <v>235924</v>
      </c>
      <c r="M18" s="1">
        <f t="shared" si="0"/>
        <v>0</v>
      </c>
      <c r="P18" s="1">
        <f t="shared" si="1"/>
        <v>0</v>
      </c>
      <c r="S18" s="1">
        <f t="shared" si="2"/>
        <v>0</v>
      </c>
      <c r="U18" s="116">
        <v>64076</v>
      </c>
      <c r="X18" s="1" t="s">
        <v>517</v>
      </c>
      <c r="Y18" s="1">
        <v>0</v>
      </c>
      <c r="Z18" s="1">
        <v>0</v>
      </c>
      <c r="AA18" s="1" t="s">
        <v>53</v>
      </c>
      <c r="AB18" s="1" t="s">
        <v>530</v>
      </c>
      <c r="AC18" s="1" t="s">
        <v>53</v>
      </c>
      <c r="AD18" s="1" t="s">
        <v>524</v>
      </c>
      <c r="AE18" s="33" t="s">
        <v>594</v>
      </c>
      <c r="AF18" s="7"/>
      <c r="AG18" s="7"/>
      <c r="AH18" s="7"/>
      <c r="AI18" s="7"/>
      <c r="AJ18" s="7"/>
      <c r="AK18" s="7"/>
      <c r="AL18" s="7"/>
      <c r="AM18" s="7"/>
      <c r="AN18" s="7"/>
      <c r="AO18" s="7"/>
      <c r="AP18" s="7"/>
      <c r="AQ18" s="7"/>
      <c r="AR18" s="130"/>
      <c r="AS18" s="9"/>
      <c r="AT18" s="9"/>
      <c r="AU18" s="9"/>
      <c r="AV18" s="9"/>
      <c r="AW18" s="9"/>
      <c r="AX18" s="9"/>
      <c r="AY18" s="9"/>
      <c r="AZ18" s="9"/>
      <c r="BA18" s="9"/>
      <c r="BB18" s="9"/>
      <c r="BC18" s="9"/>
      <c r="BD18" s="9"/>
      <c r="BE18" s="130"/>
      <c r="BF18" s="9"/>
      <c r="BG18" s="9"/>
      <c r="BH18" s="9"/>
      <c r="BI18" s="9"/>
      <c r="BJ18" s="9"/>
      <c r="BK18" s="9"/>
      <c r="BL18" s="9"/>
      <c r="BM18" s="9"/>
      <c r="BN18" s="9"/>
      <c r="BO18" s="9"/>
      <c r="BP18" s="9"/>
      <c r="BQ18" s="9"/>
      <c r="BR18" s="127"/>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O18" s="1">
        <f t="shared" si="3"/>
        <v>0</v>
      </c>
      <c r="DP18" s="526"/>
    </row>
    <row r="19" spans="1:120" s="1" customFormat="1" ht="25.9" customHeight="1" x14ac:dyDescent="0.2">
      <c r="A19" s="6" t="s">
        <v>595</v>
      </c>
      <c r="B19" s="33" t="s">
        <v>57</v>
      </c>
      <c r="C19" s="33" t="s">
        <v>596</v>
      </c>
      <c r="D19" s="1" t="s">
        <v>597</v>
      </c>
      <c r="E19" s="1" t="s">
        <v>598</v>
      </c>
      <c r="F19" s="33" t="s">
        <v>49</v>
      </c>
      <c r="G19" s="33" t="s">
        <v>315</v>
      </c>
      <c r="H19" s="1" t="s">
        <v>563</v>
      </c>
      <c r="I19" s="115">
        <v>41786</v>
      </c>
      <c r="J19" s="115">
        <v>41970</v>
      </c>
      <c r="K19" s="116">
        <v>329000</v>
      </c>
      <c r="L19" s="116">
        <v>360628.33</v>
      </c>
      <c r="M19" s="1">
        <f t="shared" si="0"/>
        <v>0</v>
      </c>
      <c r="P19" s="1">
        <f t="shared" si="1"/>
        <v>0</v>
      </c>
      <c r="S19" s="1">
        <f t="shared" si="2"/>
        <v>0</v>
      </c>
      <c r="U19" s="116">
        <v>-31628.330000000016</v>
      </c>
      <c r="X19" s="1" t="s">
        <v>517</v>
      </c>
      <c r="Y19" s="1">
        <v>0</v>
      </c>
      <c r="Z19" s="1">
        <v>0</v>
      </c>
      <c r="AA19" s="1" t="s">
        <v>53</v>
      </c>
      <c r="AB19" s="1" t="s">
        <v>530</v>
      </c>
      <c r="AC19" s="1" t="s">
        <v>53</v>
      </c>
      <c r="AD19" s="1" t="s">
        <v>524</v>
      </c>
      <c r="AE19" s="33" t="s">
        <v>599</v>
      </c>
      <c r="AF19" s="7"/>
      <c r="AG19" s="7"/>
      <c r="AH19" s="7"/>
      <c r="AI19" s="7"/>
      <c r="AJ19" s="7"/>
      <c r="AK19" s="7"/>
      <c r="AL19" s="7"/>
      <c r="AM19" s="7"/>
      <c r="AN19" s="7"/>
      <c r="AO19" s="7"/>
      <c r="AP19" s="7"/>
      <c r="AQ19" s="7"/>
      <c r="AR19" s="130"/>
      <c r="AS19" s="9"/>
      <c r="AT19" s="9"/>
      <c r="AU19" s="9"/>
      <c r="AV19" s="9"/>
      <c r="AW19" s="9"/>
      <c r="AX19" s="9"/>
      <c r="AY19" s="9"/>
      <c r="AZ19" s="9"/>
      <c r="BA19" s="9"/>
      <c r="BB19" s="9"/>
      <c r="BC19" s="9"/>
      <c r="BD19" s="9"/>
      <c r="BE19" s="130"/>
      <c r="BF19" s="9"/>
      <c r="BG19" s="9"/>
      <c r="BH19" s="9"/>
      <c r="BI19" s="9"/>
      <c r="BJ19" s="9"/>
      <c r="BK19" s="9"/>
      <c r="BL19" s="9"/>
      <c r="BM19" s="9"/>
      <c r="BN19" s="9"/>
      <c r="BO19" s="9"/>
      <c r="BP19" s="9"/>
      <c r="BQ19" s="9"/>
      <c r="BR19" s="127"/>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O19" s="1">
        <f t="shared" si="3"/>
        <v>0</v>
      </c>
      <c r="DP19" s="526"/>
    </row>
    <row r="20" spans="1:120" s="1" customFormat="1" ht="25.9" customHeight="1" x14ac:dyDescent="0.2">
      <c r="A20" s="6" t="s">
        <v>600</v>
      </c>
      <c r="B20" s="33" t="s">
        <v>57</v>
      </c>
      <c r="C20" s="33" t="s">
        <v>601</v>
      </c>
      <c r="D20" s="1" t="s">
        <v>602</v>
      </c>
      <c r="E20" s="1" t="s">
        <v>603</v>
      </c>
      <c r="F20" s="33" t="s">
        <v>49</v>
      </c>
      <c r="G20" s="33" t="s">
        <v>315</v>
      </c>
      <c r="H20" s="1" t="s">
        <v>563</v>
      </c>
      <c r="I20" s="115">
        <v>42151</v>
      </c>
      <c r="J20" s="115">
        <v>42335</v>
      </c>
      <c r="K20" s="116">
        <v>300000</v>
      </c>
      <c r="L20" s="116">
        <v>842703.55</v>
      </c>
      <c r="M20" s="1">
        <f t="shared" si="0"/>
        <v>0</v>
      </c>
      <c r="P20" s="1">
        <f t="shared" si="1"/>
        <v>0</v>
      </c>
      <c r="S20" s="1">
        <f t="shared" si="2"/>
        <v>0</v>
      </c>
      <c r="U20" s="116">
        <v>-542703.55000000005</v>
      </c>
      <c r="X20" s="1" t="s">
        <v>517</v>
      </c>
      <c r="Y20" s="1">
        <v>0</v>
      </c>
      <c r="Z20" s="1">
        <v>0</v>
      </c>
      <c r="AA20" s="1" t="s">
        <v>53</v>
      </c>
      <c r="AB20" s="1" t="s">
        <v>530</v>
      </c>
      <c r="AC20" s="1" t="s">
        <v>53</v>
      </c>
      <c r="AD20" s="1" t="s">
        <v>524</v>
      </c>
      <c r="AE20" s="33" t="s">
        <v>604</v>
      </c>
      <c r="AF20" s="7"/>
      <c r="AG20" s="7"/>
      <c r="AH20" s="7"/>
      <c r="AI20" s="7"/>
      <c r="AJ20" s="7"/>
      <c r="AK20" s="7"/>
      <c r="AL20" s="7"/>
      <c r="AM20" s="7"/>
      <c r="AN20" s="7"/>
      <c r="AO20" s="7"/>
      <c r="AP20" s="7"/>
      <c r="AQ20" s="7"/>
      <c r="AR20" s="130"/>
      <c r="AS20" s="9"/>
      <c r="AT20" s="9"/>
      <c r="AU20" s="9"/>
      <c r="AV20" s="9"/>
      <c r="AW20" s="9"/>
      <c r="AX20" s="9"/>
      <c r="AY20" s="9"/>
      <c r="AZ20" s="9"/>
      <c r="BA20" s="9"/>
      <c r="BB20" s="9"/>
      <c r="BC20" s="9"/>
      <c r="BD20" s="9"/>
      <c r="BE20" s="130"/>
      <c r="BF20" s="9"/>
      <c r="BG20" s="9"/>
      <c r="BH20" s="9"/>
      <c r="BI20" s="9"/>
      <c r="BJ20" s="9"/>
      <c r="BK20" s="9"/>
      <c r="BL20" s="9"/>
      <c r="BM20" s="9"/>
      <c r="BN20" s="9"/>
      <c r="BO20" s="9"/>
      <c r="BP20" s="9"/>
      <c r="BQ20" s="9"/>
      <c r="BR20" s="127"/>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c r="CS20" s="19"/>
      <c r="CT20" s="19"/>
      <c r="CU20" s="19"/>
      <c r="CV20" s="19"/>
      <c r="CW20" s="19"/>
      <c r="CX20" s="19"/>
      <c r="CY20" s="19"/>
      <c r="CZ20" s="19"/>
      <c r="DA20" s="19"/>
      <c r="DB20" s="19"/>
      <c r="DO20" s="1">
        <f t="shared" si="3"/>
        <v>0</v>
      </c>
      <c r="DP20" s="526"/>
    </row>
    <row r="21" spans="1:120" s="1" customFormat="1" ht="25.9" customHeight="1" x14ac:dyDescent="0.2">
      <c r="A21" s="6" t="s">
        <v>605</v>
      </c>
      <c r="B21" s="33" t="s">
        <v>57</v>
      </c>
      <c r="C21" s="33" t="s">
        <v>606</v>
      </c>
      <c r="D21" s="1" t="s">
        <v>607</v>
      </c>
      <c r="E21" s="1" t="s">
        <v>608</v>
      </c>
      <c r="F21" s="33" t="s">
        <v>49</v>
      </c>
      <c r="G21" s="33" t="s">
        <v>569</v>
      </c>
      <c r="H21" s="1" t="s">
        <v>61</v>
      </c>
      <c r="I21" s="115">
        <v>41872</v>
      </c>
      <c r="J21" s="115">
        <v>42056</v>
      </c>
      <c r="K21" s="116">
        <v>497274</v>
      </c>
      <c r="L21" s="116">
        <v>462510.3</v>
      </c>
      <c r="M21" s="1">
        <f t="shared" si="0"/>
        <v>0</v>
      </c>
      <c r="P21" s="1">
        <f t="shared" si="1"/>
        <v>0</v>
      </c>
      <c r="S21" s="1">
        <f t="shared" si="2"/>
        <v>0</v>
      </c>
      <c r="U21" s="116">
        <v>34763.700000000012</v>
      </c>
      <c r="X21" s="1" t="s">
        <v>517</v>
      </c>
      <c r="Y21" s="1">
        <v>0</v>
      </c>
      <c r="Z21" s="1">
        <v>0</v>
      </c>
      <c r="AA21" s="1" t="s">
        <v>53</v>
      </c>
      <c r="AB21" s="1" t="s">
        <v>530</v>
      </c>
      <c r="AC21" s="1" t="s">
        <v>53</v>
      </c>
      <c r="AD21" s="1" t="s">
        <v>524</v>
      </c>
      <c r="AE21" s="33" t="s">
        <v>609</v>
      </c>
      <c r="AF21" s="7"/>
      <c r="AG21" s="7"/>
      <c r="AH21" s="7"/>
      <c r="AI21" s="7"/>
      <c r="AJ21" s="7"/>
      <c r="AK21" s="7"/>
      <c r="AL21" s="7"/>
      <c r="AM21" s="7"/>
      <c r="AN21" s="7"/>
      <c r="AO21" s="7"/>
      <c r="AP21" s="7"/>
      <c r="AQ21" s="7"/>
      <c r="AR21" s="130"/>
      <c r="AS21" s="9"/>
      <c r="AT21" s="9"/>
      <c r="AU21" s="9"/>
      <c r="AV21" s="9"/>
      <c r="AW21" s="9"/>
      <c r="AX21" s="9"/>
      <c r="AY21" s="9"/>
      <c r="AZ21" s="9"/>
      <c r="BA21" s="9"/>
      <c r="BB21" s="9"/>
      <c r="BC21" s="9"/>
      <c r="BD21" s="9"/>
      <c r="BE21" s="130"/>
      <c r="BF21" s="9"/>
      <c r="BG21" s="9"/>
      <c r="BH21" s="9"/>
      <c r="BI21" s="9"/>
      <c r="BJ21" s="9"/>
      <c r="BK21" s="9"/>
      <c r="BL21" s="9"/>
      <c r="BM21" s="9"/>
      <c r="BN21" s="9"/>
      <c r="BO21" s="9"/>
      <c r="BP21" s="9"/>
      <c r="BQ21" s="9"/>
      <c r="BR21" s="127"/>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O21" s="1">
        <f t="shared" si="3"/>
        <v>0</v>
      </c>
      <c r="DP21" s="526"/>
    </row>
    <row r="22" spans="1:120" s="1" customFormat="1" ht="25.9" customHeight="1" x14ac:dyDescent="0.2">
      <c r="A22" s="6" t="s">
        <v>610</v>
      </c>
      <c r="B22" s="33" t="s">
        <v>57</v>
      </c>
      <c r="C22" s="33" t="s">
        <v>611</v>
      </c>
      <c r="D22" s="1" t="s">
        <v>612</v>
      </c>
      <c r="E22" s="1" t="s">
        <v>613</v>
      </c>
      <c r="F22" s="33" t="s">
        <v>49</v>
      </c>
      <c r="G22" s="33" t="s">
        <v>315</v>
      </c>
      <c r="H22" s="1" t="s">
        <v>61</v>
      </c>
      <c r="I22" s="115">
        <v>41932</v>
      </c>
      <c r="J22" s="115">
        <v>42297</v>
      </c>
      <c r="K22" s="116">
        <v>2448339</v>
      </c>
      <c r="L22" s="116">
        <v>1667000.0200000003</v>
      </c>
      <c r="M22" s="1">
        <f t="shared" si="0"/>
        <v>0</v>
      </c>
      <c r="P22" s="1">
        <f t="shared" si="1"/>
        <v>0</v>
      </c>
      <c r="S22" s="1">
        <f t="shared" si="2"/>
        <v>0</v>
      </c>
      <c r="U22" s="116">
        <v>781338.97999999975</v>
      </c>
      <c r="X22" s="1" t="s">
        <v>517</v>
      </c>
      <c r="Y22" s="1">
        <v>0</v>
      </c>
      <c r="Z22" s="1">
        <v>0</v>
      </c>
      <c r="AA22" s="1" t="s">
        <v>53</v>
      </c>
      <c r="AB22" s="1" t="s">
        <v>530</v>
      </c>
      <c r="AC22" s="1" t="s">
        <v>53</v>
      </c>
      <c r="AD22" s="1" t="s">
        <v>524</v>
      </c>
      <c r="AE22" s="33" t="s">
        <v>614</v>
      </c>
      <c r="AF22" s="7"/>
      <c r="AG22" s="7"/>
      <c r="AH22" s="7"/>
      <c r="AI22" s="7"/>
      <c r="AJ22" s="7"/>
      <c r="AK22" s="7"/>
      <c r="AL22" s="7"/>
      <c r="AM22" s="7"/>
      <c r="AN22" s="7"/>
      <c r="AO22" s="7"/>
      <c r="AP22" s="7"/>
      <c r="AQ22" s="7"/>
      <c r="AR22" s="130"/>
      <c r="AS22" s="9"/>
      <c r="AT22" s="9"/>
      <c r="AU22" s="9"/>
      <c r="AV22" s="9"/>
      <c r="AW22" s="9"/>
      <c r="AX22" s="9"/>
      <c r="AY22" s="9"/>
      <c r="AZ22" s="9"/>
      <c r="BA22" s="9"/>
      <c r="BB22" s="9"/>
      <c r="BC22" s="9"/>
      <c r="BD22" s="9"/>
      <c r="BE22" s="130"/>
      <c r="BF22" s="9"/>
      <c r="BG22" s="9"/>
      <c r="BH22" s="9"/>
      <c r="BI22" s="9"/>
      <c r="BJ22" s="9"/>
      <c r="BK22" s="9"/>
      <c r="BL22" s="9"/>
      <c r="BM22" s="9"/>
      <c r="BN22" s="9"/>
      <c r="BO22" s="9"/>
      <c r="BP22" s="9"/>
      <c r="BQ22" s="9"/>
      <c r="BR22" s="127"/>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O22" s="1">
        <f t="shared" si="3"/>
        <v>0</v>
      </c>
      <c r="DP22" s="526"/>
    </row>
    <row r="23" spans="1:120" s="1" customFormat="1" ht="25.9" customHeight="1" x14ac:dyDescent="0.2">
      <c r="A23" s="6" t="s">
        <v>615</v>
      </c>
      <c r="B23" s="33" t="s">
        <v>57</v>
      </c>
      <c r="C23" s="33" t="s">
        <v>616</v>
      </c>
      <c r="D23" s="1" t="s">
        <v>617</v>
      </c>
      <c r="E23" s="1" t="s">
        <v>110</v>
      </c>
      <c r="F23" s="33" t="s">
        <v>49</v>
      </c>
      <c r="G23" s="33" t="s">
        <v>315</v>
      </c>
      <c r="H23" s="1" t="s">
        <v>61</v>
      </c>
      <c r="I23" s="115">
        <v>42084</v>
      </c>
      <c r="J23" s="115">
        <v>42206</v>
      </c>
      <c r="K23" s="116">
        <v>2898727</v>
      </c>
      <c r="L23" s="116">
        <v>2053670.04</v>
      </c>
      <c r="M23" s="1">
        <f t="shared" si="0"/>
        <v>0</v>
      </c>
      <c r="P23" s="1">
        <f t="shared" si="1"/>
        <v>0</v>
      </c>
      <c r="S23" s="1">
        <f t="shared" si="2"/>
        <v>0</v>
      </c>
      <c r="U23" s="116">
        <v>845056.96</v>
      </c>
      <c r="X23" s="1" t="s">
        <v>517</v>
      </c>
      <c r="Y23" s="1">
        <v>0</v>
      </c>
      <c r="Z23" s="1">
        <v>0</v>
      </c>
      <c r="AA23" s="1" t="s">
        <v>53</v>
      </c>
      <c r="AB23" s="1" t="s">
        <v>530</v>
      </c>
      <c r="AC23" s="1" t="s">
        <v>53</v>
      </c>
      <c r="AD23" s="1" t="s">
        <v>524</v>
      </c>
      <c r="AE23" s="33" t="s">
        <v>618</v>
      </c>
      <c r="AF23" s="7"/>
      <c r="AG23" s="7"/>
      <c r="AH23" s="7"/>
      <c r="AI23" s="7"/>
      <c r="AJ23" s="7"/>
      <c r="AK23" s="7"/>
      <c r="AL23" s="7"/>
      <c r="AM23" s="7"/>
      <c r="AN23" s="7"/>
      <c r="AO23" s="7"/>
      <c r="AP23" s="7"/>
      <c r="AQ23" s="7"/>
      <c r="AR23" s="130"/>
      <c r="AS23" s="9"/>
      <c r="AT23" s="9"/>
      <c r="AU23" s="9"/>
      <c r="AV23" s="9"/>
      <c r="AW23" s="9"/>
      <c r="AX23" s="9"/>
      <c r="AY23" s="9"/>
      <c r="AZ23" s="9"/>
      <c r="BA23" s="9"/>
      <c r="BB23" s="9"/>
      <c r="BC23" s="9"/>
      <c r="BD23" s="9"/>
      <c r="BE23" s="130"/>
      <c r="BF23" s="9"/>
      <c r="BG23" s="9"/>
      <c r="BH23" s="9"/>
      <c r="BI23" s="9"/>
      <c r="BJ23" s="9"/>
      <c r="BK23" s="9"/>
      <c r="BL23" s="9"/>
      <c r="BM23" s="9"/>
      <c r="BN23" s="9"/>
      <c r="BO23" s="9"/>
      <c r="BP23" s="9"/>
      <c r="BQ23" s="9"/>
      <c r="BR23" s="127"/>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O23" s="1">
        <f t="shared" si="3"/>
        <v>0</v>
      </c>
      <c r="DP23" s="526"/>
    </row>
    <row r="24" spans="1:120" s="1" customFormat="1" ht="25.9" customHeight="1" x14ac:dyDescent="0.2">
      <c r="A24" s="6" t="s">
        <v>619</v>
      </c>
      <c r="B24" s="33" t="s">
        <v>45</v>
      </c>
      <c r="C24" s="33" t="s">
        <v>620</v>
      </c>
      <c r="D24" s="1" t="s">
        <v>621</v>
      </c>
      <c r="E24" s="1" t="s">
        <v>622</v>
      </c>
      <c r="F24" s="33" t="s">
        <v>49</v>
      </c>
      <c r="G24" s="33" t="s">
        <v>328</v>
      </c>
      <c r="H24" s="1" t="s">
        <v>623</v>
      </c>
      <c r="I24" s="115">
        <v>41452</v>
      </c>
      <c r="J24" s="115">
        <v>42548</v>
      </c>
      <c r="K24" s="116">
        <v>580292.31000000006</v>
      </c>
      <c r="L24" s="116">
        <v>1519511.44</v>
      </c>
      <c r="M24" s="1">
        <f t="shared" si="0"/>
        <v>0</v>
      </c>
      <c r="P24" s="1">
        <f t="shared" si="1"/>
        <v>0</v>
      </c>
      <c r="S24" s="1">
        <f t="shared" si="2"/>
        <v>0</v>
      </c>
      <c r="U24" s="116">
        <v>-939219.12999999989</v>
      </c>
      <c r="X24" s="1" t="s">
        <v>624</v>
      </c>
      <c r="Y24" s="1">
        <v>36</v>
      </c>
      <c r="Z24" s="1">
        <v>0</v>
      </c>
      <c r="AA24" s="1" t="s">
        <v>53</v>
      </c>
      <c r="AB24" s="1" t="s">
        <v>530</v>
      </c>
      <c r="AC24" s="1" t="s">
        <v>53</v>
      </c>
      <c r="AD24" s="1" t="s">
        <v>524</v>
      </c>
      <c r="AE24" s="33" t="s">
        <v>625</v>
      </c>
      <c r="AF24" s="7"/>
      <c r="AG24" s="7"/>
      <c r="AH24" s="7"/>
      <c r="AI24" s="7"/>
      <c r="AJ24" s="7"/>
      <c r="AK24" s="7"/>
      <c r="AL24" s="7"/>
      <c r="AM24" s="7"/>
      <c r="AN24" s="7"/>
      <c r="AO24" s="7"/>
      <c r="AP24" s="7"/>
      <c r="AQ24" s="7"/>
      <c r="AR24" s="130"/>
      <c r="AS24" s="9"/>
      <c r="AT24" s="9"/>
      <c r="AU24" s="9"/>
      <c r="AV24" s="9"/>
      <c r="AW24" s="9"/>
      <c r="AX24" s="9"/>
      <c r="AY24" s="9"/>
      <c r="AZ24" s="9"/>
      <c r="BA24" s="9"/>
      <c r="BB24" s="9"/>
      <c r="BC24" s="9"/>
      <c r="BD24" s="9"/>
      <c r="BE24" s="130"/>
      <c r="BF24" s="9"/>
      <c r="BG24" s="9"/>
      <c r="BH24" s="9"/>
      <c r="BI24" s="9"/>
      <c r="BJ24" s="9"/>
      <c r="BK24" s="9"/>
      <c r="BL24" s="9"/>
      <c r="BM24" s="9"/>
      <c r="BN24" s="9"/>
      <c r="BO24" s="9"/>
      <c r="BP24" s="9"/>
      <c r="BQ24" s="9"/>
      <c r="BR24" s="127"/>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O24" s="1">
        <f t="shared" si="3"/>
        <v>0</v>
      </c>
      <c r="DP24" s="526"/>
    </row>
    <row r="25" spans="1:120" s="1" customFormat="1" ht="25.9" customHeight="1" x14ac:dyDescent="0.2">
      <c r="A25" s="6" t="s">
        <v>626</v>
      </c>
      <c r="B25" s="33" t="s">
        <v>45</v>
      </c>
      <c r="C25" s="33" t="s">
        <v>627</v>
      </c>
      <c r="D25" s="1" t="s">
        <v>628</v>
      </c>
      <c r="E25" s="1" t="s">
        <v>629</v>
      </c>
      <c r="F25" s="33" t="s">
        <v>49</v>
      </c>
      <c r="G25" s="33" t="s">
        <v>547</v>
      </c>
      <c r="H25" s="1" t="s">
        <v>563</v>
      </c>
      <c r="I25" s="115">
        <v>41087</v>
      </c>
      <c r="J25" s="115">
        <v>41171</v>
      </c>
      <c r="K25" s="116">
        <v>508517</v>
      </c>
      <c r="L25" s="116">
        <v>508517</v>
      </c>
      <c r="M25" s="1">
        <f t="shared" si="0"/>
        <v>0</v>
      </c>
      <c r="P25" s="1">
        <f t="shared" si="1"/>
        <v>0</v>
      </c>
      <c r="S25" s="1">
        <f t="shared" si="2"/>
        <v>0</v>
      </c>
      <c r="U25" s="116">
        <v>0</v>
      </c>
      <c r="X25" s="1" t="s">
        <v>517</v>
      </c>
      <c r="Y25" s="1">
        <v>0</v>
      </c>
      <c r="Z25" s="1">
        <v>0</v>
      </c>
      <c r="AA25" s="1" t="s">
        <v>53</v>
      </c>
      <c r="AB25" s="1" t="s">
        <v>530</v>
      </c>
      <c r="AC25" s="1" t="s">
        <v>53</v>
      </c>
      <c r="AD25" s="1" t="s">
        <v>524</v>
      </c>
      <c r="AE25" s="33" t="s">
        <v>630</v>
      </c>
      <c r="AF25" s="7"/>
      <c r="AG25" s="7"/>
      <c r="AH25" s="7"/>
      <c r="AI25" s="7"/>
      <c r="AJ25" s="7"/>
      <c r="AK25" s="7"/>
      <c r="AL25" s="7"/>
      <c r="AM25" s="7"/>
      <c r="AN25" s="7"/>
      <c r="AO25" s="7"/>
      <c r="AP25" s="7"/>
      <c r="AQ25" s="7"/>
      <c r="AR25" s="130"/>
      <c r="AS25" s="9"/>
      <c r="AT25" s="9"/>
      <c r="AU25" s="9"/>
      <c r="AV25" s="9"/>
      <c r="AW25" s="9"/>
      <c r="AX25" s="9"/>
      <c r="AY25" s="9"/>
      <c r="AZ25" s="9"/>
      <c r="BA25" s="9"/>
      <c r="BB25" s="9"/>
      <c r="BC25" s="9"/>
      <c r="BD25" s="9"/>
      <c r="BE25" s="130"/>
      <c r="BF25" s="9"/>
      <c r="BG25" s="9"/>
      <c r="BH25" s="9"/>
      <c r="BI25" s="9"/>
      <c r="BJ25" s="9"/>
      <c r="BK25" s="9"/>
      <c r="BL25" s="9"/>
      <c r="BM25" s="9"/>
      <c r="BN25" s="9"/>
      <c r="BO25" s="9"/>
      <c r="BP25" s="9"/>
      <c r="BQ25" s="9"/>
      <c r="BR25" s="127"/>
      <c r="BS25" s="19"/>
      <c r="BT25" s="19"/>
      <c r="BU25" s="19"/>
      <c r="BV25" s="19"/>
      <c r="BW25" s="19"/>
      <c r="BX25" s="19"/>
      <c r="BY25" s="19"/>
      <c r="BZ25" s="19"/>
      <c r="CA25" s="19"/>
      <c r="CB25" s="19"/>
      <c r="CC25" s="19"/>
      <c r="CD25" s="19"/>
      <c r="CE25" s="19"/>
      <c r="CF25" s="19"/>
      <c r="CG25" s="19"/>
      <c r="CH25" s="19"/>
      <c r="CI25" s="19"/>
      <c r="CJ25" s="19"/>
      <c r="CK25" s="19"/>
      <c r="CL25" s="19"/>
      <c r="CM25" s="19"/>
      <c r="CN25" s="19"/>
      <c r="CO25" s="19"/>
      <c r="CP25" s="19"/>
      <c r="CQ25" s="19"/>
      <c r="CR25" s="19"/>
      <c r="CS25" s="19"/>
      <c r="CT25" s="19"/>
      <c r="CU25" s="19"/>
      <c r="CV25" s="19"/>
      <c r="CW25" s="19"/>
      <c r="CX25" s="19"/>
      <c r="CY25" s="19"/>
      <c r="CZ25" s="19"/>
      <c r="DA25" s="19"/>
      <c r="DB25" s="19"/>
      <c r="DO25" s="1">
        <f t="shared" si="3"/>
        <v>0</v>
      </c>
      <c r="DP25" s="526"/>
    </row>
    <row r="26" spans="1:120" s="1" customFormat="1" ht="25.9" customHeight="1" x14ac:dyDescent="0.2">
      <c r="A26" s="6" t="s">
        <v>631</v>
      </c>
      <c r="B26" s="33" t="s">
        <v>57</v>
      </c>
      <c r="C26" s="33" t="s">
        <v>632</v>
      </c>
      <c r="D26" s="1" t="s">
        <v>633</v>
      </c>
      <c r="E26" s="1" t="s">
        <v>634</v>
      </c>
      <c r="F26" s="33" t="s">
        <v>49</v>
      </c>
      <c r="G26" s="33" t="s">
        <v>315</v>
      </c>
      <c r="H26" s="1" t="s">
        <v>563</v>
      </c>
      <c r="I26" s="115">
        <v>41822</v>
      </c>
      <c r="J26" s="115">
        <v>41906</v>
      </c>
      <c r="K26" s="116">
        <v>290472</v>
      </c>
      <c r="L26" s="116">
        <v>135618.72</v>
      </c>
      <c r="M26" s="1">
        <f t="shared" si="0"/>
        <v>0</v>
      </c>
      <c r="P26" s="1">
        <f t="shared" si="1"/>
        <v>0</v>
      </c>
      <c r="S26" s="1">
        <f t="shared" si="2"/>
        <v>0</v>
      </c>
      <c r="U26" s="116">
        <v>154853.28</v>
      </c>
      <c r="X26" s="1" t="s">
        <v>517</v>
      </c>
      <c r="Y26" s="1">
        <v>0</v>
      </c>
      <c r="Z26" s="1">
        <v>0</v>
      </c>
      <c r="AA26" s="1" t="s">
        <v>53</v>
      </c>
      <c r="AB26" s="1" t="s">
        <v>530</v>
      </c>
      <c r="AC26" s="1" t="s">
        <v>53</v>
      </c>
      <c r="AD26" s="1" t="s">
        <v>524</v>
      </c>
      <c r="AE26" s="33" t="s">
        <v>635</v>
      </c>
      <c r="AF26" s="7"/>
      <c r="AG26" s="7"/>
      <c r="AH26" s="7"/>
      <c r="AI26" s="7"/>
      <c r="AJ26" s="7"/>
      <c r="AK26" s="7"/>
      <c r="AL26" s="7"/>
      <c r="AM26" s="7"/>
      <c r="AN26" s="7"/>
      <c r="AO26" s="7"/>
      <c r="AP26" s="7"/>
      <c r="AQ26" s="7"/>
      <c r="AR26" s="130"/>
      <c r="AS26" s="9"/>
      <c r="AT26" s="9"/>
      <c r="AU26" s="9"/>
      <c r="AV26" s="9"/>
      <c r="AW26" s="9"/>
      <c r="AX26" s="9"/>
      <c r="AY26" s="9"/>
      <c r="AZ26" s="9"/>
      <c r="BA26" s="9"/>
      <c r="BB26" s="9"/>
      <c r="BC26" s="9"/>
      <c r="BD26" s="9"/>
      <c r="BE26" s="130"/>
      <c r="BF26" s="9"/>
      <c r="BG26" s="9"/>
      <c r="BH26" s="9"/>
      <c r="BI26" s="9"/>
      <c r="BJ26" s="9"/>
      <c r="BK26" s="9"/>
      <c r="BL26" s="9"/>
      <c r="BM26" s="9"/>
      <c r="BN26" s="9"/>
      <c r="BO26" s="9"/>
      <c r="BP26" s="9"/>
      <c r="BQ26" s="9"/>
      <c r="BR26" s="127"/>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O26" s="1">
        <f t="shared" si="3"/>
        <v>0</v>
      </c>
      <c r="DP26" s="526"/>
    </row>
    <row r="27" spans="1:120" s="1" customFormat="1" ht="25.9" customHeight="1" x14ac:dyDescent="0.2">
      <c r="A27" s="6" t="s">
        <v>636</v>
      </c>
      <c r="B27" s="33" t="s">
        <v>107</v>
      </c>
      <c r="C27" s="33" t="s">
        <v>637</v>
      </c>
      <c r="D27" s="65" t="s">
        <v>638</v>
      </c>
      <c r="E27" s="1" t="s">
        <v>639</v>
      </c>
      <c r="F27" s="33" t="s">
        <v>49</v>
      </c>
      <c r="G27" s="33" t="s">
        <v>354</v>
      </c>
      <c r="H27" s="1" t="s">
        <v>344</v>
      </c>
      <c r="I27" s="115">
        <v>40336</v>
      </c>
      <c r="J27" s="115">
        <v>41432</v>
      </c>
      <c r="K27" s="116">
        <v>743933.51</v>
      </c>
      <c r="L27" s="116">
        <v>5340533.12</v>
      </c>
      <c r="M27" s="1">
        <f t="shared" si="0"/>
        <v>1565077.8</v>
      </c>
      <c r="P27" s="1">
        <f t="shared" si="1"/>
        <v>0</v>
      </c>
      <c r="S27" s="1">
        <f t="shared" si="2"/>
        <v>0</v>
      </c>
      <c r="U27" s="116"/>
      <c r="X27" s="1" t="s">
        <v>52</v>
      </c>
      <c r="Y27" s="1">
        <v>0</v>
      </c>
      <c r="Z27" s="1">
        <v>0</v>
      </c>
      <c r="AA27" s="1" t="s">
        <v>53</v>
      </c>
      <c r="AB27" s="1" t="s">
        <v>53</v>
      </c>
      <c r="AC27" s="1" t="s">
        <v>53</v>
      </c>
      <c r="AD27" s="1" t="s">
        <v>54</v>
      </c>
      <c r="AE27" s="33" t="s">
        <v>640</v>
      </c>
      <c r="AF27" s="7">
        <v>612614.44999999995</v>
      </c>
      <c r="AG27" s="7"/>
      <c r="AH27" s="7"/>
      <c r="AI27" s="7"/>
      <c r="AJ27" s="7"/>
      <c r="AK27" s="7"/>
      <c r="AL27" s="7"/>
      <c r="AM27" s="7">
        <f>82855.28+839608.02</f>
        <v>922463.3</v>
      </c>
      <c r="AN27" s="7"/>
      <c r="AO27" s="7"/>
      <c r="AP27" s="7"/>
      <c r="AQ27" s="7">
        <v>30000.05</v>
      </c>
      <c r="AR27" s="130">
        <f>SUBTOTAL(9,AF27:AQ27)</f>
        <v>1565077.8</v>
      </c>
      <c r="AS27" s="9"/>
      <c r="AT27" s="9"/>
      <c r="AU27" s="9"/>
      <c r="AV27" s="9"/>
      <c r="AW27" s="9"/>
      <c r="AX27" s="9"/>
      <c r="AY27" s="9"/>
      <c r="AZ27" s="9"/>
      <c r="BA27" s="9"/>
      <c r="BB27" s="9"/>
      <c r="BC27" s="9"/>
      <c r="BD27" s="9"/>
      <c r="BE27" s="130"/>
      <c r="BF27" s="9"/>
      <c r="BG27" s="9"/>
      <c r="BH27" s="9"/>
      <c r="BI27" s="9"/>
      <c r="BJ27" s="9"/>
      <c r="BK27" s="9"/>
      <c r="BL27" s="9"/>
      <c r="BM27" s="9"/>
      <c r="BN27" s="9"/>
      <c r="BO27" s="9"/>
      <c r="BP27" s="9"/>
      <c r="BQ27" s="9"/>
      <c r="BR27" s="127"/>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c r="CS27" s="19"/>
      <c r="CT27" s="19"/>
      <c r="CU27" s="19"/>
      <c r="CV27" s="19"/>
      <c r="CW27" s="19"/>
      <c r="CX27" s="19"/>
      <c r="CY27" s="19"/>
      <c r="CZ27" s="19"/>
      <c r="DA27" s="19"/>
      <c r="DB27" s="19"/>
      <c r="DO27" s="1">
        <f t="shared" si="3"/>
        <v>0</v>
      </c>
      <c r="DP27" s="526"/>
    </row>
    <row r="28" spans="1:120" s="1" customFormat="1" ht="25.9" customHeight="1" x14ac:dyDescent="0.2">
      <c r="A28" s="6" t="s">
        <v>641</v>
      </c>
      <c r="B28" s="33" t="s">
        <v>57</v>
      </c>
      <c r="C28" s="33" t="s">
        <v>642</v>
      </c>
      <c r="D28" s="1" t="s">
        <v>643</v>
      </c>
      <c r="E28" s="1" t="s">
        <v>644</v>
      </c>
      <c r="F28" s="33" t="s">
        <v>49</v>
      </c>
      <c r="G28" s="33" t="s">
        <v>315</v>
      </c>
      <c r="H28" s="1" t="s">
        <v>61</v>
      </c>
      <c r="I28" s="115">
        <v>42144</v>
      </c>
      <c r="J28" s="115">
        <v>42267</v>
      </c>
      <c r="K28" s="116">
        <v>2250000</v>
      </c>
      <c r="L28" s="116">
        <v>2294560.31</v>
      </c>
      <c r="M28" s="1">
        <f t="shared" si="0"/>
        <v>0</v>
      </c>
      <c r="P28" s="1">
        <f t="shared" si="1"/>
        <v>0</v>
      </c>
      <c r="S28" s="1">
        <f t="shared" si="2"/>
        <v>0</v>
      </c>
      <c r="U28" s="116">
        <v>-44560.310000000056</v>
      </c>
      <c r="X28" s="1" t="s">
        <v>517</v>
      </c>
      <c r="Y28" s="1">
        <v>0</v>
      </c>
      <c r="Z28" s="1">
        <v>0</v>
      </c>
      <c r="AA28" s="1" t="s">
        <v>53</v>
      </c>
      <c r="AB28" s="1" t="s">
        <v>530</v>
      </c>
      <c r="AC28" s="1" t="s">
        <v>530</v>
      </c>
      <c r="AD28" s="1" t="s">
        <v>524</v>
      </c>
      <c r="AE28" s="33" t="s">
        <v>645</v>
      </c>
      <c r="AF28" s="7"/>
      <c r="AG28" s="7"/>
      <c r="AH28" s="7"/>
      <c r="AI28" s="7"/>
      <c r="AJ28" s="7"/>
      <c r="AK28" s="7"/>
      <c r="AL28" s="7"/>
      <c r="AM28" s="7"/>
      <c r="AN28" s="7"/>
      <c r="AO28" s="7"/>
      <c r="AP28" s="7"/>
      <c r="AQ28" s="7"/>
      <c r="AR28" s="130"/>
      <c r="AS28" s="9"/>
      <c r="AT28" s="9"/>
      <c r="AU28" s="9"/>
      <c r="AV28" s="9"/>
      <c r="AW28" s="9"/>
      <c r="AX28" s="9"/>
      <c r="AY28" s="9"/>
      <c r="AZ28" s="9"/>
      <c r="BA28" s="9"/>
      <c r="BB28" s="9"/>
      <c r="BC28" s="9"/>
      <c r="BD28" s="9"/>
      <c r="BE28" s="130"/>
      <c r="BF28" s="9"/>
      <c r="BG28" s="9"/>
      <c r="BH28" s="9"/>
      <c r="BI28" s="9"/>
      <c r="BJ28" s="9"/>
      <c r="BK28" s="9"/>
      <c r="BL28" s="9"/>
      <c r="BM28" s="9"/>
      <c r="BN28" s="9"/>
      <c r="BO28" s="9"/>
      <c r="BP28" s="9"/>
      <c r="BQ28" s="9"/>
      <c r="BR28" s="127"/>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O28" s="1">
        <f t="shared" si="3"/>
        <v>0</v>
      </c>
      <c r="DP28" s="526"/>
    </row>
    <row r="29" spans="1:120" s="1" customFormat="1" ht="25.9" customHeight="1" x14ac:dyDescent="0.2">
      <c r="A29" s="6" t="s">
        <v>646</v>
      </c>
      <c r="B29" s="33" t="s">
        <v>57</v>
      </c>
      <c r="C29" s="33" t="s">
        <v>647</v>
      </c>
      <c r="D29" s="1" t="s">
        <v>485</v>
      </c>
      <c r="E29" s="1" t="s">
        <v>649</v>
      </c>
      <c r="F29" s="33" t="s">
        <v>49</v>
      </c>
      <c r="G29" s="33" t="s">
        <v>315</v>
      </c>
      <c r="H29" s="1" t="s">
        <v>563</v>
      </c>
      <c r="I29" s="115">
        <v>41827</v>
      </c>
      <c r="J29" s="115">
        <v>41911</v>
      </c>
      <c r="K29" s="116">
        <v>275000</v>
      </c>
      <c r="L29" s="116">
        <v>275000</v>
      </c>
      <c r="M29" s="1">
        <f t="shared" si="0"/>
        <v>0</v>
      </c>
      <c r="P29" s="1">
        <f t="shared" si="1"/>
        <v>0</v>
      </c>
      <c r="S29" s="1">
        <f t="shared" si="2"/>
        <v>0</v>
      </c>
      <c r="U29" s="116">
        <v>0</v>
      </c>
      <c r="X29" s="1" t="s">
        <v>517</v>
      </c>
      <c r="Y29" s="1">
        <v>0</v>
      </c>
      <c r="Z29" s="1">
        <v>0</v>
      </c>
      <c r="AA29" s="1" t="s">
        <v>53</v>
      </c>
      <c r="AB29" s="1" t="s">
        <v>530</v>
      </c>
      <c r="AC29" s="1" t="s">
        <v>53</v>
      </c>
      <c r="AD29" s="1" t="s">
        <v>524</v>
      </c>
      <c r="AE29" s="33" t="s">
        <v>650</v>
      </c>
      <c r="AF29" s="7"/>
      <c r="AG29" s="7"/>
      <c r="AH29" s="7"/>
      <c r="AI29" s="7"/>
      <c r="AJ29" s="7"/>
      <c r="AK29" s="7"/>
      <c r="AL29" s="7"/>
      <c r="AM29" s="7"/>
      <c r="AN29" s="7"/>
      <c r="AO29" s="7"/>
      <c r="AP29" s="7"/>
      <c r="AQ29" s="7"/>
      <c r="AR29" s="130"/>
      <c r="AS29" s="9"/>
      <c r="AT29" s="9"/>
      <c r="AU29" s="9"/>
      <c r="AV29" s="9"/>
      <c r="AW29" s="9"/>
      <c r="AX29" s="9"/>
      <c r="AY29" s="9"/>
      <c r="AZ29" s="9"/>
      <c r="BA29" s="9"/>
      <c r="BB29" s="9"/>
      <c r="BC29" s="9"/>
      <c r="BD29" s="9"/>
      <c r="BE29" s="130"/>
      <c r="BF29" s="9"/>
      <c r="BG29" s="9"/>
      <c r="BH29" s="9"/>
      <c r="BI29" s="9"/>
      <c r="BJ29" s="9"/>
      <c r="BK29" s="9"/>
      <c r="BL29" s="9"/>
      <c r="BM29" s="9"/>
      <c r="BN29" s="9"/>
      <c r="BO29" s="9"/>
      <c r="BP29" s="9"/>
      <c r="BQ29" s="9"/>
      <c r="BR29" s="127"/>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O29" s="1">
        <f t="shared" si="3"/>
        <v>0</v>
      </c>
      <c r="DP29" s="526"/>
    </row>
    <row r="30" spans="1:120" s="1" customFormat="1" ht="25.9" customHeight="1" x14ac:dyDescent="0.2">
      <c r="A30" s="6" t="s">
        <v>651</v>
      </c>
      <c r="B30" s="33" t="s">
        <v>57</v>
      </c>
      <c r="C30" s="33" t="s">
        <v>652</v>
      </c>
      <c r="D30" s="1" t="s">
        <v>653</v>
      </c>
      <c r="E30" s="1" t="s">
        <v>60</v>
      </c>
      <c r="F30" s="33" t="s">
        <v>49</v>
      </c>
      <c r="G30" s="33" t="s">
        <v>315</v>
      </c>
      <c r="H30" s="1" t="s">
        <v>61</v>
      </c>
      <c r="I30" s="115">
        <v>42108</v>
      </c>
      <c r="J30" s="115">
        <v>42192</v>
      </c>
      <c r="K30" s="116">
        <v>1249688</v>
      </c>
      <c r="L30" s="116">
        <v>1741484.4400000002</v>
      </c>
      <c r="M30" s="1">
        <f t="shared" si="0"/>
        <v>0</v>
      </c>
      <c r="P30" s="1">
        <f t="shared" si="1"/>
        <v>0</v>
      </c>
      <c r="S30" s="1">
        <f t="shared" si="2"/>
        <v>0</v>
      </c>
      <c r="U30" s="116">
        <v>-491796.44000000018</v>
      </c>
      <c r="X30" s="1" t="s">
        <v>517</v>
      </c>
      <c r="Y30" s="1">
        <v>0</v>
      </c>
      <c r="Z30" s="1">
        <v>0</v>
      </c>
      <c r="AA30" s="1" t="s">
        <v>53</v>
      </c>
      <c r="AB30" s="1" t="s">
        <v>530</v>
      </c>
      <c r="AC30" s="1" t="s">
        <v>53</v>
      </c>
      <c r="AD30" s="1" t="s">
        <v>524</v>
      </c>
      <c r="AE30" s="33" t="s">
        <v>654</v>
      </c>
      <c r="AF30" s="7"/>
      <c r="AG30" s="7"/>
      <c r="AH30" s="7"/>
      <c r="AI30" s="7"/>
      <c r="AJ30" s="7"/>
      <c r="AK30" s="7"/>
      <c r="AL30" s="7"/>
      <c r="AM30" s="7"/>
      <c r="AN30" s="7"/>
      <c r="AO30" s="7"/>
      <c r="AP30" s="7"/>
      <c r="AQ30" s="7"/>
      <c r="AR30" s="130"/>
      <c r="AS30" s="9"/>
      <c r="AT30" s="9"/>
      <c r="AU30" s="9"/>
      <c r="AV30" s="9"/>
      <c r="AW30" s="9"/>
      <c r="AX30" s="9"/>
      <c r="AY30" s="9"/>
      <c r="AZ30" s="9"/>
      <c r="BA30" s="9"/>
      <c r="BB30" s="9"/>
      <c r="BC30" s="9"/>
      <c r="BD30" s="9"/>
      <c r="BE30" s="130"/>
      <c r="BF30" s="9"/>
      <c r="BG30" s="9"/>
      <c r="BH30" s="9"/>
      <c r="BI30" s="9"/>
      <c r="BJ30" s="9"/>
      <c r="BK30" s="9"/>
      <c r="BL30" s="9"/>
      <c r="BM30" s="9"/>
      <c r="BN30" s="9"/>
      <c r="BO30" s="9"/>
      <c r="BP30" s="9"/>
      <c r="BQ30" s="9"/>
      <c r="BR30" s="127"/>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c r="CQ30" s="19"/>
      <c r="CR30" s="19"/>
      <c r="CS30" s="19"/>
      <c r="CT30" s="19"/>
      <c r="CU30" s="19"/>
      <c r="CV30" s="19"/>
      <c r="CW30" s="19"/>
      <c r="CX30" s="19"/>
      <c r="CY30" s="19"/>
      <c r="CZ30" s="19"/>
      <c r="DA30" s="19"/>
      <c r="DB30" s="19"/>
      <c r="DO30" s="1">
        <f t="shared" si="3"/>
        <v>0</v>
      </c>
      <c r="DP30" s="526"/>
    </row>
    <row r="31" spans="1:120" s="1" customFormat="1" ht="25.9" customHeight="1" x14ac:dyDescent="0.2">
      <c r="A31" s="6" t="s">
        <v>655</v>
      </c>
      <c r="B31" s="33" t="s">
        <v>57</v>
      </c>
      <c r="C31" s="33" t="s">
        <v>656</v>
      </c>
      <c r="D31" s="1" t="s">
        <v>657</v>
      </c>
      <c r="E31" s="1" t="s">
        <v>260</v>
      </c>
      <c r="F31" s="33" t="s">
        <v>49</v>
      </c>
      <c r="G31" s="33" t="s">
        <v>315</v>
      </c>
      <c r="H31" s="1" t="s">
        <v>563</v>
      </c>
      <c r="I31" s="115">
        <v>41781</v>
      </c>
      <c r="J31" s="115">
        <v>41865</v>
      </c>
      <c r="K31" s="116">
        <v>239400</v>
      </c>
      <c r="L31" s="116">
        <v>118138</v>
      </c>
      <c r="M31" s="1">
        <f t="shared" si="0"/>
        <v>0</v>
      </c>
      <c r="P31" s="1">
        <f t="shared" si="1"/>
        <v>0</v>
      </c>
      <c r="S31" s="1">
        <f t="shared" si="2"/>
        <v>0</v>
      </c>
      <c r="U31" s="116">
        <v>121262</v>
      </c>
      <c r="X31" s="1" t="s">
        <v>517</v>
      </c>
      <c r="Y31" s="1">
        <v>0</v>
      </c>
      <c r="Z31" s="1">
        <v>0</v>
      </c>
      <c r="AA31" s="1" t="s">
        <v>53</v>
      </c>
      <c r="AB31" s="1" t="s">
        <v>530</v>
      </c>
      <c r="AC31" s="1" t="s">
        <v>53</v>
      </c>
      <c r="AD31" s="1" t="s">
        <v>524</v>
      </c>
      <c r="AE31" s="33" t="s">
        <v>658</v>
      </c>
      <c r="AF31" s="7"/>
      <c r="AG31" s="7"/>
      <c r="AH31" s="7"/>
      <c r="AI31" s="7"/>
      <c r="AJ31" s="7"/>
      <c r="AK31" s="7"/>
      <c r="AL31" s="7"/>
      <c r="AM31" s="7"/>
      <c r="AN31" s="7"/>
      <c r="AO31" s="7"/>
      <c r="AP31" s="7"/>
      <c r="AQ31" s="7"/>
      <c r="AR31" s="130"/>
      <c r="AS31" s="9"/>
      <c r="AT31" s="9"/>
      <c r="AU31" s="9"/>
      <c r="AV31" s="9"/>
      <c r="AW31" s="9"/>
      <c r="AX31" s="9"/>
      <c r="AY31" s="9"/>
      <c r="AZ31" s="9"/>
      <c r="BA31" s="9"/>
      <c r="BB31" s="9"/>
      <c r="BC31" s="9"/>
      <c r="BD31" s="9"/>
      <c r="BE31" s="130"/>
      <c r="BF31" s="9"/>
      <c r="BG31" s="9"/>
      <c r="BH31" s="9"/>
      <c r="BI31" s="9"/>
      <c r="BJ31" s="9"/>
      <c r="BK31" s="9"/>
      <c r="BL31" s="9"/>
      <c r="BM31" s="9"/>
      <c r="BN31" s="9"/>
      <c r="BO31" s="9"/>
      <c r="BP31" s="9"/>
      <c r="BQ31" s="9"/>
      <c r="BR31" s="127"/>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c r="CS31" s="19"/>
      <c r="CT31" s="19"/>
      <c r="CU31" s="19"/>
      <c r="CV31" s="19"/>
      <c r="CW31" s="19"/>
      <c r="CX31" s="19"/>
      <c r="CY31" s="19"/>
      <c r="CZ31" s="19"/>
      <c r="DA31" s="19"/>
      <c r="DB31" s="19"/>
      <c r="DO31" s="1">
        <f t="shared" si="3"/>
        <v>0</v>
      </c>
      <c r="DP31" s="526"/>
    </row>
    <row r="32" spans="1:120" s="1" customFormat="1" ht="25.9" customHeight="1" x14ac:dyDescent="0.2">
      <c r="A32" s="6" t="s">
        <v>659</v>
      </c>
      <c r="B32" s="33" t="s">
        <v>57</v>
      </c>
      <c r="C32" s="33" t="s">
        <v>660</v>
      </c>
      <c r="D32" s="1" t="s">
        <v>661</v>
      </c>
      <c r="E32" s="1" t="s">
        <v>662</v>
      </c>
      <c r="F32" s="33" t="s">
        <v>49</v>
      </c>
      <c r="G32" s="33" t="s">
        <v>315</v>
      </c>
      <c r="H32" s="1" t="s">
        <v>563</v>
      </c>
      <c r="I32" s="115">
        <v>41785</v>
      </c>
      <c r="J32" s="115">
        <v>41869</v>
      </c>
      <c r="K32" s="116">
        <v>297500</v>
      </c>
      <c r="L32" s="116">
        <v>240984</v>
      </c>
      <c r="M32" s="1">
        <f t="shared" si="0"/>
        <v>0</v>
      </c>
      <c r="P32" s="1">
        <f t="shared" si="1"/>
        <v>0</v>
      </c>
      <c r="S32" s="1">
        <f t="shared" si="2"/>
        <v>0</v>
      </c>
      <c r="U32" s="116">
        <v>56516</v>
      </c>
      <c r="X32" s="1" t="s">
        <v>517</v>
      </c>
      <c r="Y32" s="1">
        <v>0</v>
      </c>
      <c r="Z32" s="1">
        <v>0</v>
      </c>
      <c r="AA32" s="1" t="s">
        <v>53</v>
      </c>
      <c r="AB32" s="1" t="s">
        <v>530</v>
      </c>
      <c r="AC32" s="1" t="s">
        <v>53</v>
      </c>
      <c r="AD32" s="1" t="s">
        <v>524</v>
      </c>
      <c r="AE32" s="33" t="s">
        <v>663</v>
      </c>
      <c r="AF32" s="7"/>
      <c r="AG32" s="7"/>
      <c r="AH32" s="7"/>
      <c r="AI32" s="7"/>
      <c r="AJ32" s="7"/>
      <c r="AK32" s="7"/>
      <c r="AL32" s="7"/>
      <c r="AM32" s="7"/>
      <c r="AN32" s="7"/>
      <c r="AO32" s="7"/>
      <c r="AP32" s="7"/>
      <c r="AQ32" s="7"/>
      <c r="AR32" s="130"/>
      <c r="AS32" s="9"/>
      <c r="AT32" s="9"/>
      <c r="AU32" s="9"/>
      <c r="AV32" s="9"/>
      <c r="AW32" s="9"/>
      <c r="AX32" s="9"/>
      <c r="AY32" s="9"/>
      <c r="AZ32" s="9"/>
      <c r="BA32" s="9"/>
      <c r="BB32" s="9"/>
      <c r="BC32" s="9"/>
      <c r="BD32" s="9"/>
      <c r="BE32" s="130"/>
      <c r="BF32" s="9"/>
      <c r="BG32" s="9"/>
      <c r="BH32" s="9"/>
      <c r="BI32" s="9"/>
      <c r="BJ32" s="9"/>
      <c r="BK32" s="9"/>
      <c r="BL32" s="9"/>
      <c r="BM32" s="9"/>
      <c r="BN32" s="9"/>
      <c r="BO32" s="9"/>
      <c r="BP32" s="9"/>
      <c r="BQ32" s="9"/>
      <c r="BR32" s="127"/>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c r="CS32" s="19"/>
      <c r="CT32" s="19"/>
      <c r="CU32" s="19"/>
      <c r="CV32" s="19"/>
      <c r="CW32" s="19"/>
      <c r="CX32" s="19"/>
      <c r="CY32" s="19"/>
      <c r="CZ32" s="19"/>
      <c r="DA32" s="19"/>
      <c r="DB32" s="19"/>
      <c r="DO32" s="1">
        <f t="shared" si="3"/>
        <v>0</v>
      </c>
      <c r="DP32" s="526"/>
    </row>
    <row r="33" spans="1:125" s="1" customFormat="1" ht="25.9" customHeight="1" x14ac:dyDescent="0.2">
      <c r="A33" s="6" t="s">
        <v>664</v>
      </c>
      <c r="B33" s="33" t="s">
        <v>57</v>
      </c>
      <c r="C33" s="33" t="s">
        <v>665</v>
      </c>
      <c r="D33" s="1" t="s">
        <v>666</v>
      </c>
      <c r="E33" s="1" t="s">
        <v>667</v>
      </c>
      <c r="F33" s="33" t="s">
        <v>49</v>
      </c>
      <c r="G33" s="33" t="s">
        <v>569</v>
      </c>
      <c r="H33" s="1" t="s">
        <v>668</v>
      </c>
      <c r="I33" s="115">
        <v>41731</v>
      </c>
      <c r="J33" s="115">
        <v>41761</v>
      </c>
      <c r="K33" s="116">
        <v>243888</v>
      </c>
      <c r="L33" s="116">
        <v>243888</v>
      </c>
      <c r="M33" s="1">
        <f t="shared" si="0"/>
        <v>0</v>
      </c>
      <c r="P33" s="1">
        <f t="shared" si="1"/>
        <v>0</v>
      </c>
      <c r="S33" s="1">
        <f t="shared" si="2"/>
        <v>0</v>
      </c>
      <c r="U33" s="116">
        <v>0</v>
      </c>
      <c r="X33" s="1" t="s">
        <v>517</v>
      </c>
      <c r="Y33" s="1">
        <v>0</v>
      </c>
      <c r="Z33" s="1">
        <v>0</v>
      </c>
      <c r="AA33" s="1" t="s">
        <v>53</v>
      </c>
      <c r="AB33" s="1" t="s">
        <v>53</v>
      </c>
      <c r="AC33" s="1" t="s">
        <v>53</v>
      </c>
      <c r="AD33" s="1" t="s">
        <v>524</v>
      </c>
      <c r="AE33" s="33" t="s">
        <v>669</v>
      </c>
      <c r="AF33" s="7"/>
      <c r="AG33" s="7"/>
      <c r="AH33" s="7"/>
      <c r="AI33" s="7"/>
      <c r="AJ33" s="7"/>
      <c r="AK33" s="7"/>
      <c r="AL33" s="7"/>
      <c r="AM33" s="7"/>
      <c r="AN33" s="7"/>
      <c r="AO33" s="7"/>
      <c r="AP33" s="7"/>
      <c r="AQ33" s="7"/>
      <c r="AR33" s="130"/>
      <c r="AS33" s="9"/>
      <c r="AT33" s="9"/>
      <c r="AU33" s="9"/>
      <c r="AV33" s="9"/>
      <c r="AW33" s="9"/>
      <c r="AX33" s="9"/>
      <c r="AY33" s="9"/>
      <c r="AZ33" s="9"/>
      <c r="BA33" s="9"/>
      <c r="BB33" s="9"/>
      <c r="BC33" s="9"/>
      <c r="BD33" s="9"/>
      <c r="BE33" s="130"/>
      <c r="BF33" s="9"/>
      <c r="BG33" s="9"/>
      <c r="BH33" s="9"/>
      <c r="BI33" s="9"/>
      <c r="BJ33" s="9"/>
      <c r="BK33" s="9"/>
      <c r="BL33" s="9"/>
      <c r="BM33" s="9"/>
      <c r="BN33" s="9"/>
      <c r="BO33" s="9"/>
      <c r="BP33" s="9"/>
      <c r="BQ33" s="9"/>
      <c r="BR33" s="127"/>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c r="CS33" s="19"/>
      <c r="CT33" s="19"/>
      <c r="CU33" s="19"/>
      <c r="CV33" s="19"/>
      <c r="CW33" s="19"/>
      <c r="CX33" s="19"/>
      <c r="CY33" s="19"/>
      <c r="CZ33" s="19"/>
      <c r="DA33" s="19"/>
      <c r="DB33" s="19"/>
      <c r="DO33" s="1">
        <f t="shared" si="3"/>
        <v>0</v>
      </c>
      <c r="DP33" s="526"/>
    </row>
    <row r="34" spans="1:125" s="1" customFormat="1" ht="25.9" customHeight="1" x14ac:dyDescent="0.2">
      <c r="A34" s="6" t="s">
        <v>670</v>
      </c>
      <c r="B34" s="33" t="s">
        <v>57</v>
      </c>
      <c r="C34" s="33" t="s">
        <v>671</v>
      </c>
      <c r="D34" s="1" t="s">
        <v>672</v>
      </c>
      <c r="E34" s="1" t="s">
        <v>673</v>
      </c>
      <c r="F34" s="33" t="s">
        <v>49</v>
      </c>
      <c r="G34" s="33" t="s">
        <v>569</v>
      </c>
      <c r="H34" s="1" t="s">
        <v>61</v>
      </c>
      <c r="I34" s="115">
        <v>42065</v>
      </c>
      <c r="J34" s="115">
        <v>42096</v>
      </c>
      <c r="K34" s="116">
        <v>767867</v>
      </c>
      <c r="L34" s="116">
        <v>767867</v>
      </c>
      <c r="M34" s="1">
        <f t="shared" si="0"/>
        <v>0</v>
      </c>
      <c r="P34" s="1">
        <f t="shared" si="1"/>
        <v>0</v>
      </c>
      <c r="S34" s="1">
        <f t="shared" si="2"/>
        <v>0</v>
      </c>
      <c r="U34" s="116">
        <v>0</v>
      </c>
      <c r="X34" s="1" t="s">
        <v>517</v>
      </c>
      <c r="Y34" s="1">
        <v>0</v>
      </c>
      <c r="Z34" s="1">
        <v>0</v>
      </c>
      <c r="AA34" s="1" t="s">
        <v>53</v>
      </c>
      <c r="AB34" s="1" t="s">
        <v>53</v>
      </c>
      <c r="AC34" s="1" t="s">
        <v>53</v>
      </c>
      <c r="AD34" s="1" t="s">
        <v>524</v>
      </c>
      <c r="AE34" s="33" t="s">
        <v>674</v>
      </c>
      <c r="AF34" s="7"/>
      <c r="AG34" s="7"/>
      <c r="AH34" s="7"/>
      <c r="AI34" s="7"/>
      <c r="AJ34" s="7"/>
      <c r="AK34" s="7"/>
      <c r="AL34" s="7"/>
      <c r="AM34" s="7"/>
      <c r="AN34" s="7"/>
      <c r="AO34" s="7"/>
      <c r="AP34" s="7"/>
      <c r="AQ34" s="7"/>
      <c r="AR34" s="130"/>
      <c r="AS34" s="9"/>
      <c r="AT34" s="9"/>
      <c r="AU34" s="9"/>
      <c r="AV34" s="9"/>
      <c r="AW34" s="9"/>
      <c r="AX34" s="9"/>
      <c r="AY34" s="9"/>
      <c r="AZ34" s="9"/>
      <c r="BA34" s="9"/>
      <c r="BB34" s="9"/>
      <c r="BC34" s="9"/>
      <c r="BD34" s="9"/>
      <c r="BE34" s="130"/>
      <c r="BF34" s="9"/>
      <c r="BG34" s="9"/>
      <c r="BH34" s="9"/>
      <c r="BI34" s="9"/>
      <c r="BJ34" s="9"/>
      <c r="BK34" s="9"/>
      <c r="BL34" s="9"/>
      <c r="BM34" s="9"/>
      <c r="BN34" s="9"/>
      <c r="BO34" s="9"/>
      <c r="BP34" s="9"/>
      <c r="BQ34" s="9"/>
      <c r="BR34" s="127"/>
      <c r="BS34" s="19"/>
      <c r="BT34" s="19"/>
      <c r="BU34" s="19"/>
      <c r="BV34" s="19"/>
      <c r="BW34" s="19"/>
      <c r="BX34" s="19"/>
      <c r="BY34" s="19"/>
      <c r="BZ34" s="19"/>
      <c r="CA34" s="19"/>
      <c r="CB34" s="19"/>
      <c r="CC34" s="19"/>
      <c r="CD34" s="19"/>
      <c r="CE34" s="19"/>
      <c r="CF34" s="19"/>
      <c r="CG34" s="19"/>
      <c r="CH34" s="19"/>
      <c r="CI34" s="19"/>
      <c r="CJ34" s="19"/>
      <c r="CK34" s="19"/>
      <c r="CL34" s="19"/>
      <c r="CM34" s="19"/>
      <c r="CN34" s="19"/>
      <c r="CO34" s="19"/>
      <c r="CP34" s="19"/>
      <c r="CQ34" s="19"/>
      <c r="CR34" s="19"/>
      <c r="CS34" s="19"/>
      <c r="CT34" s="19"/>
      <c r="CU34" s="19"/>
      <c r="CV34" s="19"/>
      <c r="CW34" s="19"/>
      <c r="CX34" s="19"/>
      <c r="CY34" s="19"/>
      <c r="CZ34" s="19"/>
      <c r="DA34" s="19"/>
      <c r="DB34" s="19"/>
      <c r="DO34" s="1">
        <f t="shared" si="3"/>
        <v>0</v>
      </c>
      <c r="DP34" s="526"/>
    </row>
    <row r="35" spans="1:125" s="1" customFormat="1" ht="25.9" customHeight="1" x14ac:dyDescent="0.2">
      <c r="A35" s="6" t="s">
        <v>675</v>
      </c>
      <c r="B35" s="33" t="s">
        <v>57</v>
      </c>
      <c r="C35" s="33" t="s">
        <v>676</v>
      </c>
      <c r="D35" s="1" t="s">
        <v>677</v>
      </c>
      <c r="E35" s="1" t="s">
        <v>678</v>
      </c>
      <c r="F35" s="33" t="s">
        <v>49</v>
      </c>
      <c r="G35" s="33" t="s">
        <v>315</v>
      </c>
      <c r="H35" s="1" t="s">
        <v>563</v>
      </c>
      <c r="I35" s="115">
        <v>41785</v>
      </c>
      <c r="J35" s="115">
        <v>41869</v>
      </c>
      <c r="K35" s="116">
        <v>266000</v>
      </c>
      <c r="L35" s="116">
        <v>144886</v>
      </c>
      <c r="M35" s="1">
        <f t="shared" si="0"/>
        <v>0</v>
      </c>
      <c r="P35" s="1">
        <f t="shared" si="1"/>
        <v>0</v>
      </c>
      <c r="S35" s="1">
        <f t="shared" si="2"/>
        <v>0</v>
      </c>
      <c r="U35" s="116">
        <v>121114</v>
      </c>
      <c r="X35" s="1" t="s">
        <v>517</v>
      </c>
      <c r="Y35" s="1">
        <v>0</v>
      </c>
      <c r="Z35" s="1">
        <v>0</v>
      </c>
      <c r="AA35" s="1" t="s">
        <v>53</v>
      </c>
      <c r="AB35" s="1" t="s">
        <v>530</v>
      </c>
      <c r="AC35" s="1" t="s">
        <v>53</v>
      </c>
      <c r="AD35" s="1" t="s">
        <v>524</v>
      </c>
      <c r="AE35" s="33" t="s">
        <v>679</v>
      </c>
      <c r="AF35" s="7"/>
      <c r="AG35" s="7"/>
      <c r="AH35" s="7"/>
      <c r="AI35" s="7"/>
      <c r="AJ35" s="7"/>
      <c r="AK35" s="7"/>
      <c r="AL35" s="7"/>
      <c r="AM35" s="7"/>
      <c r="AN35" s="7"/>
      <c r="AO35" s="7"/>
      <c r="AP35" s="7"/>
      <c r="AQ35" s="7"/>
      <c r="AR35" s="130"/>
      <c r="AS35" s="9"/>
      <c r="AT35" s="9"/>
      <c r="AU35" s="9"/>
      <c r="AV35" s="9"/>
      <c r="AW35" s="9"/>
      <c r="AX35" s="9"/>
      <c r="AY35" s="9"/>
      <c r="AZ35" s="9"/>
      <c r="BA35" s="9"/>
      <c r="BB35" s="9"/>
      <c r="BC35" s="9"/>
      <c r="BD35" s="9"/>
      <c r="BE35" s="130"/>
      <c r="BF35" s="9"/>
      <c r="BG35" s="9"/>
      <c r="BH35" s="9"/>
      <c r="BI35" s="9"/>
      <c r="BJ35" s="9"/>
      <c r="BK35" s="9"/>
      <c r="BL35" s="9"/>
      <c r="BM35" s="9"/>
      <c r="BN35" s="9"/>
      <c r="BO35" s="9"/>
      <c r="BP35" s="9"/>
      <c r="BQ35" s="9"/>
      <c r="BR35" s="127"/>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c r="CQ35" s="19"/>
      <c r="CR35" s="19"/>
      <c r="CS35" s="19"/>
      <c r="CT35" s="19"/>
      <c r="CU35" s="19"/>
      <c r="CV35" s="19"/>
      <c r="CW35" s="19"/>
      <c r="CX35" s="19"/>
      <c r="CY35" s="19"/>
      <c r="CZ35" s="19"/>
      <c r="DA35" s="19"/>
      <c r="DB35" s="19"/>
      <c r="DO35" s="1">
        <f t="shared" si="3"/>
        <v>0</v>
      </c>
      <c r="DP35" s="526"/>
    </row>
    <row r="36" spans="1:125" s="1" customFormat="1" ht="25.9" customHeight="1" x14ac:dyDescent="0.2">
      <c r="A36" s="6" t="s">
        <v>680</v>
      </c>
      <c r="B36" s="33" t="s">
        <v>45</v>
      </c>
      <c r="C36" s="33" t="s">
        <v>681</v>
      </c>
      <c r="D36" s="1" t="s">
        <v>682</v>
      </c>
      <c r="E36" s="1" t="s">
        <v>552</v>
      </c>
      <c r="F36" s="33" t="s">
        <v>49</v>
      </c>
      <c r="G36" s="33" t="s">
        <v>354</v>
      </c>
      <c r="H36" s="1" t="s">
        <v>389</v>
      </c>
      <c r="I36" s="115">
        <v>41926</v>
      </c>
      <c r="J36" s="115">
        <v>42108</v>
      </c>
      <c r="K36" s="116">
        <v>1401568.25</v>
      </c>
      <c r="L36" s="116">
        <v>1401568.25</v>
      </c>
      <c r="M36" s="1">
        <f t="shared" ref="M36:M67" si="4">AR36</f>
        <v>0</v>
      </c>
      <c r="P36" s="1">
        <f t="shared" ref="P36:P67" si="5">BE37</f>
        <v>0</v>
      </c>
      <c r="S36" s="1">
        <f t="shared" ref="S36:S67" si="6">BR36</f>
        <v>0</v>
      </c>
      <c r="U36" s="116">
        <v>0</v>
      </c>
      <c r="X36" s="1" t="s">
        <v>517</v>
      </c>
      <c r="Y36" s="1">
        <v>0</v>
      </c>
      <c r="Z36" s="1">
        <v>0</v>
      </c>
      <c r="AA36" s="1" t="s">
        <v>53</v>
      </c>
      <c r="AB36" s="1" t="s">
        <v>530</v>
      </c>
      <c r="AC36" s="1" t="s">
        <v>53</v>
      </c>
      <c r="AD36" s="1" t="s">
        <v>524</v>
      </c>
      <c r="AE36" s="33" t="s">
        <v>683</v>
      </c>
      <c r="AF36" s="7"/>
      <c r="AG36" s="7"/>
      <c r="AH36" s="7"/>
      <c r="AI36" s="7"/>
      <c r="AJ36" s="7"/>
      <c r="AK36" s="7"/>
      <c r="AL36" s="7"/>
      <c r="AM36" s="7"/>
      <c r="AN36" s="7"/>
      <c r="AO36" s="7"/>
      <c r="AP36" s="7"/>
      <c r="AQ36" s="7"/>
      <c r="AR36" s="130"/>
      <c r="AS36" s="9"/>
      <c r="AT36" s="9"/>
      <c r="AU36" s="9"/>
      <c r="AV36" s="9"/>
      <c r="AW36" s="9"/>
      <c r="AX36" s="9"/>
      <c r="AY36" s="9"/>
      <c r="AZ36" s="9"/>
      <c r="BA36" s="9"/>
      <c r="BB36" s="9"/>
      <c r="BC36" s="9"/>
      <c r="BD36" s="9"/>
      <c r="BE36" s="130"/>
      <c r="BF36" s="9"/>
      <c r="BG36" s="9"/>
      <c r="BH36" s="9"/>
      <c r="BI36" s="9"/>
      <c r="BJ36" s="9"/>
      <c r="BK36" s="9"/>
      <c r="BL36" s="9"/>
      <c r="BM36" s="9"/>
      <c r="BN36" s="9"/>
      <c r="BO36" s="9"/>
      <c r="BP36" s="9"/>
      <c r="BQ36" s="9"/>
      <c r="BR36" s="127"/>
      <c r="BS36" s="19"/>
      <c r="BT36" s="19"/>
      <c r="BU36" s="19"/>
      <c r="BV36" s="19"/>
      <c r="BW36" s="19"/>
      <c r="BX36" s="19"/>
      <c r="BY36" s="19"/>
      <c r="BZ36" s="19"/>
      <c r="CA36" s="19"/>
      <c r="CB36" s="19"/>
      <c r="CC36" s="19"/>
      <c r="CD36" s="19"/>
      <c r="CE36" s="19"/>
      <c r="CF36" s="19"/>
      <c r="CG36" s="19"/>
      <c r="CH36" s="19"/>
      <c r="CI36" s="19"/>
      <c r="CJ36" s="19"/>
      <c r="CK36" s="19"/>
      <c r="CL36" s="19"/>
      <c r="CM36" s="19"/>
      <c r="CN36" s="19"/>
      <c r="CO36" s="19"/>
      <c r="CP36" s="19"/>
      <c r="CQ36" s="19"/>
      <c r="CR36" s="19"/>
      <c r="CS36" s="19"/>
      <c r="CT36" s="19"/>
      <c r="CU36" s="19"/>
      <c r="CV36" s="19"/>
      <c r="CW36" s="19"/>
      <c r="CX36" s="19"/>
      <c r="CY36" s="19"/>
      <c r="CZ36" s="19"/>
      <c r="DA36" s="19"/>
      <c r="DB36" s="19"/>
      <c r="DO36" s="1">
        <f t="shared" si="3"/>
        <v>0</v>
      </c>
      <c r="DP36" s="526"/>
    </row>
    <row r="37" spans="1:125" s="1" customFormat="1" ht="25.9" customHeight="1" x14ac:dyDescent="0.2">
      <c r="A37" s="887" t="s">
        <v>684</v>
      </c>
      <c r="B37" s="559" t="s">
        <v>57</v>
      </c>
      <c r="C37" s="559" t="s">
        <v>685</v>
      </c>
      <c r="D37" s="529" t="s">
        <v>682</v>
      </c>
      <c r="E37" s="529" t="s">
        <v>552</v>
      </c>
      <c r="F37" s="559" t="s">
        <v>49</v>
      </c>
      <c r="G37" s="559" t="s">
        <v>354</v>
      </c>
      <c r="H37" s="529" t="s">
        <v>389</v>
      </c>
      <c r="I37" s="606">
        <v>41926</v>
      </c>
      <c r="J37" s="606">
        <v>42108</v>
      </c>
      <c r="K37" s="607">
        <v>4499866.8</v>
      </c>
      <c r="L37" s="607">
        <v>1423166.55</v>
      </c>
      <c r="M37" s="529">
        <f t="shared" si="4"/>
        <v>0</v>
      </c>
      <c r="N37" s="529"/>
      <c r="O37" s="529"/>
      <c r="P37" s="529">
        <f t="shared" si="5"/>
        <v>0</v>
      </c>
      <c r="Q37" s="529"/>
      <c r="R37" s="529"/>
      <c r="S37" s="529">
        <f t="shared" si="6"/>
        <v>0</v>
      </c>
      <c r="T37" s="529"/>
      <c r="U37" s="607">
        <v>3076700.25</v>
      </c>
      <c r="V37" s="529"/>
      <c r="W37" s="529"/>
      <c r="X37" s="529" t="s">
        <v>517</v>
      </c>
      <c r="Y37" s="529">
        <v>0</v>
      </c>
      <c r="Z37" s="529">
        <v>0</v>
      </c>
      <c r="AA37" s="529" t="s">
        <v>53</v>
      </c>
      <c r="AB37" s="529" t="s">
        <v>530</v>
      </c>
      <c r="AC37" s="529" t="s">
        <v>53</v>
      </c>
      <c r="AD37" s="529" t="s">
        <v>524</v>
      </c>
      <c r="AE37" s="559" t="s">
        <v>686</v>
      </c>
      <c r="AF37" s="888"/>
      <c r="AG37" s="888"/>
      <c r="AH37" s="888"/>
      <c r="AI37" s="888"/>
      <c r="AJ37" s="888"/>
      <c r="AK37" s="888"/>
      <c r="AL37" s="888"/>
      <c r="AM37" s="888"/>
      <c r="AN37" s="888"/>
      <c r="AO37" s="888"/>
      <c r="AP37" s="888"/>
      <c r="AQ37" s="888"/>
      <c r="AR37" s="132"/>
      <c r="AS37" s="889"/>
      <c r="AT37" s="889"/>
      <c r="AU37" s="889"/>
      <c r="AV37" s="889"/>
      <c r="AW37" s="889"/>
      <c r="AX37" s="889"/>
      <c r="AY37" s="889"/>
      <c r="AZ37" s="889"/>
      <c r="BA37" s="889"/>
      <c r="BB37" s="889"/>
      <c r="BC37" s="889"/>
      <c r="BD37" s="889"/>
      <c r="BE37" s="132"/>
      <c r="BF37" s="889"/>
      <c r="BG37" s="889"/>
      <c r="BH37" s="889"/>
      <c r="BI37" s="889"/>
      <c r="BJ37" s="889"/>
      <c r="BK37" s="889"/>
      <c r="BL37" s="889"/>
      <c r="BM37" s="889"/>
      <c r="BN37" s="889"/>
      <c r="BO37" s="889"/>
      <c r="BP37" s="889"/>
      <c r="BQ37" s="889"/>
      <c r="BR37" s="890"/>
      <c r="BS37" s="19"/>
      <c r="BT37" s="19"/>
      <c r="BU37" s="19"/>
      <c r="BV37" s="19"/>
      <c r="BW37" s="19"/>
      <c r="BX37" s="19"/>
      <c r="BY37" s="19"/>
      <c r="BZ37" s="19"/>
      <c r="CA37" s="19"/>
      <c r="CB37" s="19"/>
      <c r="CC37" s="19"/>
      <c r="CD37" s="19"/>
      <c r="CE37" s="19"/>
      <c r="CF37" s="19"/>
      <c r="CG37" s="19"/>
      <c r="CH37" s="19"/>
      <c r="CI37" s="19"/>
      <c r="CJ37" s="19"/>
      <c r="CK37" s="19"/>
      <c r="CL37" s="19"/>
      <c r="CM37" s="19"/>
      <c r="CN37" s="19"/>
      <c r="CO37" s="19"/>
      <c r="CP37" s="19"/>
      <c r="CQ37" s="19"/>
      <c r="CR37" s="19"/>
      <c r="CS37" s="19"/>
      <c r="CT37" s="19"/>
      <c r="CU37" s="19"/>
      <c r="CV37" s="19"/>
      <c r="CW37" s="19"/>
      <c r="CX37" s="19"/>
      <c r="CY37" s="19"/>
      <c r="CZ37" s="19"/>
      <c r="DA37" s="19"/>
      <c r="DB37" s="19"/>
      <c r="DC37" s="529"/>
      <c r="DD37" s="529"/>
      <c r="DE37" s="529"/>
      <c r="DF37" s="529"/>
      <c r="DG37" s="529"/>
      <c r="DH37" s="529"/>
      <c r="DI37" s="529"/>
      <c r="DJ37" s="529"/>
      <c r="DK37" s="529"/>
      <c r="DL37" s="529"/>
      <c r="DM37" s="529"/>
      <c r="DN37" s="529"/>
      <c r="DO37" s="529">
        <f t="shared" si="3"/>
        <v>0</v>
      </c>
      <c r="DP37" s="891"/>
      <c r="DQ37" s="529"/>
      <c r="DR37" s="529"/>
      <c r="DS37" s="529"/>
      <c r="DT37" s="529"/>
    </row>
    <row r="38" spans="1:125" s="1" customFormat="1" ht="25.9" customHeight="1" x14ac:dyDescent="0.2">
      <c r="A38" s="6" t="s">
        <v>2045</v>
      </c>
      <c r="B38" s="33" t="s">
        <v>107</v>
      </c>
      <c r="C38" s="33" t="s">
        <v>687</v>
      </c>
      <c r="D38" s="1" t="s">
        <v>688</v>
      </c>
      <c r="E38" s="1" t="s">
        <v>689</v>
      </c>
      <c r="F38" s="33" t="s">
        <v>49</v>
      </c>
      <c r="G38" s="33" t="s">
        <v>315</v>
      </c>
      <c r="H38" s="1" t="s">
        <v>563</v>
      </c>
      <c r="I38" s="115">
        <v>41827</v>
      </c>
      <c r="J38" s="115">
        <v>42011</v>
      </c>
      <c r="K38" s="116" t="s">
        <v>583</v>
      </c>
      <c r="L38" s="116">
        <v>228946.96000000002</v>
      </c>
      <c r="M38" s="1">
        <f t="shared" si="4"/>
        <v>0</v>
      </c>
      <c r="P38" s="1">
        <f t="shared" si="5"/>
        <v>0</v>
      </c>
      <c r="S38" s="1">
        <f t="shared" si="6"/>
        <v>0</v>
      </c>
      <c r="U38" s="116"/>
      <c r="X38" s="1" t="s">
        <v>517</v>
      </c>
      <c r="Y38" s="1">
        <v>0</v>
      </c>
      <c r="Z38" s="1">
        <v>0</v>
      </c>
      <c r="AA38" s="1" t="s">
        <v>53</v>
      </c>
      <c r="AB38" s="1" t="s">
        <v>530</v>
      </c>
      <c r="AC38" s="1" t="s">
        <v>53</v>
      </c>
      <c r="AD38" s="1" t="s">
        <v>524</v>
      </c>
      <c r="AE38" s="33" t="s">
        <v>690</v>
      </c>
      <c r="AF38" s="7"/>
      <c r="AG38" s="7"/>
      <c r="AH38" s="7"/>
      <c r="AI38" s="7"/>
      <c r="AJ38" s="7"/>
      <c r="AK38" s="7"/>
      <c r="AL38" s="7"/>
      <c r="AM38" s="7"/>
      <c r="AN38" s="7"/>
      <c r="AO38" s="7"/>
      <c r="AP38" s="7"/>
      <c r="AQ38" s="7"/>
      <c r="AR38" s="130"/>
      <c r="AS38" s="9"/>
      <c r="AT38" s="9"/>
      <c r="AU38" s="9"/>
      <c r="AV38" s="9"/>
      <c r="AW38" s="9"/>
      <c r="AX38" s="9"/>
      <c r="AY38" s="9"/>
      <c r="AZ38" s="9"/>
      <c r="BA38" s="9"/>
      <c r="BB38" s="9"/>
      <c r="BC38" s="9"/>
      <c r="BD38" s="9"/>
      <c r="BE38" s="130"/>
      <c r="BF38" s="9"/>
      <c r="BG38" s="9"/>
      <c r="BH38" s="9"/>
      <c r="BI38" s="9"/>
      <c r="BJ38" s="9"/>
      <c r="BK38" s="9"/>
      <c r="BL38" s="9"/>
      <c r="BM38" s="9"/>
      <c r="BN38" s="9"/>
      <c r="BO38" s="9"/>
      <c r="BP38" s="9"/>
      <c r="BQ38" s="9"/>
      <c r="BR38" s="111"/>
      <c r="DO38" s="1">
        <f t="shared" si="3"/>
        <v>0</v>
      </c>
      <c r="DU38" s="526"/>
    </row>
    <row r="39" spans="1:125" s="1" customFormat="1" ht="25.9" customHeight="1" x14ac:dyDescent="0.2">
      <c r="A39" s="44" t="s">
        <v>2046</v>
      </c>
      <c r="B39" s="33" t="s">
        <v>107</v>
      </c>
      <c r="C39" s="819" t="s">
        <v>691</v>
      </c>
      <c r="D39" s="1" t="s">
        <v>692</v>
      </c>
      <c r="E39" s="1" t="s">
        <v>693</v>
      </c>
      <c r="F39" s="33" t="s">
        <v>49</v>
      </c>
      <c r="G39" s="33" t="s">
        <v>315</v>
      </c>
      <c r="H39" s="1" t="s">
        <v>563</v>
      </c>
      <c r="I39" s="115">
        <v>41785</v>
      </c>
      <c r="J39" s="115">
        <v>41877</v>
      </c>
      <c r="K39" s="116">
        <v>315000</v>
      </c>
      <c r="L39" s="116">
        <v>315000</v>
      </c>
      <c r="M39" s="1">
        <f t="shared" si="4"/>
        <v>0</v>
      </c>
      <c r="P39" s="1">
        <f t="shared" si="5"/>
        <v>0</v>
      </c>
      <c r="S39" s="1">
        <f t="shared" si="6"/>
        <v>0</v>
      </c>
      <c r="U39" s="116"/>
      <c r="X39" s="1" t="s">
        <v>517</v>
      </c>
      <c r="Y39" s="1">
        <v>0</v>
      </c>
      <c r="Z39" s="1">
        <v>0</v>
      </c>
      <c r="AA39" s="1" t="s">
        <v>53</v>
      </c>
      <c r="AB39" s="1" t="s">
        <v>530</v>
      </c>
      <c r="AC39" s="1" t="s">
        <v>53</v>
      </c>
      <c r="AD39" s="1" t="s">
        <v>524</v>
      </c>
      <c r="AE39" s="33" t="s">
        <v>694</v>
      </c>
      <c r="AF39" s="7"/>
      <c r="AG39" s="7"/>
      <c r="AH39" s="7"/>
      <c r="AI39" s="7"/>
      <c r="AJ39" s="7"/>
      <c r="AK39" s="7"/>
      <c r="AL39" s="7"/>
      <c r="AM39" s="7"/>
      <c r="AN39" s="7"/>
      <c r="AO39" s="7"/>
      <c r="AP39" s="7"/>
      <c r="AQ39" s="7"/>
      <c r="AR39" s="130"/>
      <c r="AS39" s="9"/>
      <c r="AT39" s="9"/>
      <c r="AU39" s="9"/>
      <c r="AV39" s="9"/>
      <c r="AW39" s="9"/>
      <c r="AX39" s="9"/>
      <c r="AY39" s="9"/>
      <c r="AZ39" s="9"/>
      <c r="BA39" s="9"/>
      <c r="BB39" s="9"/>
      <c r="BC39" s="9"/>
      <c r="BD39" s="9"/>
      <c r="BE39" s="130"/>
      <c r="BF39" s="9"/>
      <c r="BG39" s="9"/>
      <c r="BH39" s="9"/>
      <c r="BI39" s="9"/>
      <c r="BJ39" s="9"/>
      <c r="BK39" s="9"/>
      <c r="BL39" s="9"/>
      <c r="BM39" s="9"/>
      <c r="BN39" s="9"/>
      <c r="BO39" s="9"/>
      <c r="BP39" s="9"/>
      <c r="BQ39" s="9"/>
      <c r="BR39" s="111"/>
      <c r="DO39" s="1">
        <f t="shared" si="3"/>
        <v>0</v>
      </c>
      <c r="DU39" s="526"/>
    </row>
    <row r="40" spans="1:125" s="1" customFormat="1" ht="25.9" customHeight="1" x14ac:dyDescent="0.2">
      <c r="A40" s="6" t="s">
        <v>2047</v>
      </c>
      <c r="B40" s="33" t="s">
        <v>107</v>
      </c>
      <c r="C40" s="902"/>
      <c r="D40" s="1" t="s">
        <v>1933</v>
      </c>
      <c r="E40" s="1" t="s">
        <v>695</v>
      </c>
      <c r="F40" s="33" t="s">
        <v>49</v>
      </c>
      <c r="G40" s="33" t="s">
        <v>315</v>
      </c>
      <c r="H40" s="1" t="s">
        <v>563</v>
      </c>
      <c r="I40" s="115">
        <v>41785</v>
      </c>
      <c r="J40" s="115">
        <v>41877</v>
      </c>
      <c r="K40" s="116">
        <v>287500</v>
      </c>
      <c r="L40" s="116">
        <v>213037</v>
      </c>
      <c r="M40" s="1">
        <f t="shared" si="4"/>
        <v>0</v>
      </c>
      <c r="P40" s="1">
        <f t="shared" si="5"/>
        <v>0</v>
      </c>
      <c r="S40" s="1">
        <f t="shared" si="6"/>
        <v>0</v>
      </c>
      <c r="U40" s="116">
        <v>74463</v>
      </c>
      <c r="X40" s="1" t="s">
        <v>517</v>
      </c>
      <c r="Y40" s="1">
        <v>0</v>
      </c>
      <c r="Z40" s="1">
        <v>0</v>
      </c>
      <c r="AA40" s="1" t="s">
        <v>53</v>
      </c>
      <c r="AB40" s="1" t="s">
        <v>530</v>
      </c>
      <c r="AC40" s="1" t="s">
        <v>53</v>
      </c>
      <c r="AD40" s="1" t="s">
        <v>524</v>
      </c>
      <c r="AE40" s="33" t="s">
        <v>696</v>
      </c>
      <c r="AF40" s="7"/>
      <c r="AG40" s="7"/>
      <c r="AH40" s="7"/>
      <c r="AI40" s="7"/>
      <c r="AJ40" s="7"/>
      <c r="AK40" s="7"/>
      <c r="AL40" s="7"/>
      <c r="AM40" s="7"/>
      <c r="AN40" s="7"/>
      <c r="AO40" s="7"/>
      <c r="AP40" s="7"/>
      <c r="AQ40" s="7"/>
      <c r="AR40" s="130"/>
      <c r="AS40" s="9"/>
      <c r="AT40" s="9"/>
      <c r="AU40" s="9"/>
      <c r="AV40" s="9"/>
      <c r="AW40" s="9"/>
      <c r="AX40" s="9"/>
      <c r="AY40" s="9"/>
      <c r="AZ40" s="9"/>
      <c r="BA40" s="9"/>
      <c r="BB40" s="9"/>
      <c r="BC40" s="9"/>
      <c r="BD40" s="9"/>
      <c r="BE40" s="130"/>
      <c r="BF40" s="9"/>
      <c r="BG40" s="9"/>
      <c r="BH40" s="9"/>
      <c r="BI40" s="9"/>
      <c r="BJ40" s="9"/>
      <c r="BK40" s="9"/>
      <c r="BL40" s="9"/>
      <c r="BM40" s="9"/>
      <c r="BN40" s="9"/>
      <c r="BO40" s="9"/>
      <c r="BP40" s="9"/>
      <c r="BQ40" s="9"/>
      <c r="BR40" s="111"/>
      <c r="DO40" s="1">
        <f t="shared" si="3"/>
        <v>0</v>
      </c>
      <c r="DU40" s="526"/>
    </row>
    <row r="41" spans="1:125" s="1" customFormat="1" ht="25.9" customHeight="1" x14ac:dyDescent="0.2">
      <c r="A41" s="6" t="s">
        <v>2048</v>
      </c>
      <c r="B41" s="33" t="s">
        <v>107</v>
      </c>
      <c r="C41" s="902"/>
      <c r="D41" s="1" t="s">
        <v>697</v>
      </c>
      <c r="E41" s="1" t="s">
        <v>698</v>
      </c>
      <c r="F41" s="33" t="s">
        <v>49</v>
      </c>
      <c r="G41" s="33" t="s">
        <v>315</v>
      </c>
      <c r="H41" s="1" t="s">
        <v>61</v>
      </c>
      <c r="I41" s="115">
        <v>42142</v>
      </c>
      <c r="J41" s="115">
        <v>42508</v>
      </c>
      <c r="K41" s="116">
        <v>2274624</v>
      </c>
      <c r="L41" s="116">
        <v>2113978.2300000004</v>
      </c>
      <c r="M41" s="1">
        <f t="shared" si="4"/>
        <v>0</v>
      </c>
      <c r="P41" s="1">
        <f t="shared" si="5"/>
        <v>0</v>
      </c>
      <c r="S41" s="1">
        <f t="shared" si="6"/>
        <v>0</v>
      </c>
      <c r="U41" s="116">
        <v>160645.76999999955</v>
      </c>
      <c r="X41" s="1" t="s">
        <v>517</v>
      </c>
      <c r="Y41" s="1">
        <v>0</v>
      </c>
      <c r="Z41" s="1">
        <v>0</v>
      </c>
      <c r="AA41" s="1" t="s">
        <v>53</v>
      </c>
      <c r="AB41" s="1" t="s">
        <v>530</v>
      </c>
      <c r="AC41" s="1" t="s">
        <v>53</v>
      </c>
      <c r="AD41" s="1" t="s">
        <v>524</v>
      </c>
      <c r="AE41" s="33" t="s">
        <v>699</v>
      </c>
      <c r="AF41" s="7"/>
      <c r="AG41" s="7"/>
      <c r="AH41" s="7"/>
      <c r="AI41" s="7"/>
      <c r="AJ41" s="7"/>
      <c r="AK41" s="7"/>
      <c r="AL41" s="7"/>
      <c r="AM41" s="7"/>
      <c r="AN41" s="7"/>
      <c r="AO41" s="7"/>
      <c r="AP41" s="7"/>
      <c r="AQ41" s="7"/>
      <c r="AR41" s="130"/>
      <c r="AS41" s="9"/>
      <c r="AT41" s="9"/>
      <c r="AU41" s="9"/>
      <c r="AV41" s="9"/>
      <c r="AW41" s="9"/>
      <c r="AX41" s="9"/>
      <c r="AY41" s="9"/>
      <c r="AZ41" s="9"/>
      <c r="BA41" s="9"/>
      <c r="BB41" s="9"/>
      <c r="BC41" s="9"/>
      <c r="BD41" s="9"/>
      <c r="BE41" s="130"/>
      <c r="BF41" s="9"/>
      <c r="BG41" s="9"/>
      <c r="BH41" s="9"/>
      <c r="BI41" s="9"/>
      <c r="BJ41" s="9"/>
      <c r="BK41" s="9"/>
      <c r="BL41" s="9"/>
      <c r="BM41" s="9"/>
      <c r="BN41" s="9"/>
      <c r="BO41" s="9"/>
      <c r="BP41" s="9"/>
      <c r="BQ41" s="9"/>
      <c r="BR41" s="111"/>
      <c r="DO41" s="1">
        <f t="shared" si="3"/>
        <v>0</v>
      </c>
      <c r="DU41" s="526"/>
    </row>
    <row r="42" spans="1:125" s="1" customFormat="1" ht="25.9" customHeight="1" x14ac:dyDescent="0.2">
      <c r="A42" s="6" t="s">
        <v>2049</v>
      </c>
      <c r="B42" s="33" t="s">
        <v>107</v>
      </c>
      <c r="C42" s="902"/>
      <c r="D42" s="1" t="s">
        <v>700</v>
      </c>
      <c r="E42" s="1" t="s">
        <v>701</v>
      </c>
      <c r="F42" s="33" t="s">
        <v>49</v>
      </c>
      <c r="G42" s="33" t="s">
        <v>315</v>
      </c>
      <c r="H42" s="1" t="s">
        <v>61</v>
      </c>
      <c r="I42" s="115">
        <v>41479</v>
      </c>
      <c r="J42" s="115">
        <v>41675</v>
      </c>
      <c r="K42" s="116">
        <v>1633645</v>
      </c>
      <c r="L42" s="116">
        <v>428548</v>
      </c>
      <c r="M42" s="1">
        <f t="shared" si="4"/>
        <v>0</v>
      </c>
      <c r="P42" s="1">
        <f t="shared" si="5"/>
        <v>0</v>
      </c>
      <c r="S42" s="1">
        <f t="shared" si="6"/>
        <v>0</v>
      </c>
      <c r="U42" s="116">
        <v>1205097</v>
      </c>
      <c r="X42" s="1" t="s">
        <v>517</v>
      </c>
      <c r="Y42" s="1">
        <v>0</v>
      </c>
      <c r="Z42" s="1">
        <v>0</v>
      </c>
      <c r="AA42" s="1" t="s">
        <v>53</v>
      </c>
      <c r="AB42" s="1" t="s">
        <v>530</v>
      </c>
      <c r="AC42" s="1" t="s">
        <v>53</v>
      </c>
      <c r="AD42" s="1" t="s">
        <v>524</v>
      </c>
      <c r="AE42" s="33" t="s">
        <v>702</v>
      </c>
      <c r="AF42" s="7"/>
      <c r="AG42" s="7"/>
      <c r="AH42" s="7"/>
      <c r="AI42" s="7"/>
      <c r="AJ42" s="7"/>
      <c r="AK42" s="7"/>
      <c r="AL42" s="7"/>
      <c r="AM42" s="7"/>
      <c r="AN42" s="7"/>
      <c r="AO42" s="7"/>
      <c r="AP42" s="7"/>
      <c r="AQ42" s="7"/>
      <c r="AR42" s="130"/>
      <c r="AS42" s="9"/>
      <c r="AT42" s="9"/>
      <c r="AU42" s="9"/>
      <c r="AV42" s="9"/>
      <c r="AW42" s="9"/>
      <c r="AX42" s="9"/>
      <c r="AY42" s="9"/>
      <c r="AZ42" s="9"/>
      <c r="BA42" s="9"/>
      <c r="BB42" s="9"/>
      <c r="BC42" s="9"/>
      <c r="BD42" s="9"/>
      <c r="BE42" s="130"/>
      <c r="BF42" s="9"/>
      <c r="BG42" s="9"/>
      <c r="BH42" s="9"/>
      <c r="BI42" s="9"/>
      <c r="BJ42" s="9"/>
      <c r="BK42" s="9"/>
      <c r="BL42" s="9"/>
      <c r="BM42" s="9"/>
      <c r="BN42" s="9"/>
      <c r="BO42" s="9"/>
      <c r="BP42" s="9"/>
      <c r="BQ42" s="9"/>
      <c r="BR42" s="111"/>
      <c r="DO42" s="1">
        <f t="shared" si="3"/>
        <v>0</v>
      </c>
      <c r="DU42" s="526"/>
    </row>
    <row r="43" spans="1:125" s="1" customFormat="1" ht="25.9" customHeight="1" x14ac:dyDescent="0.2">
      <c r="A43" s="44" t="s">
        <v>2050</v>
      </c>
      <c r="B43" s="33" t="s">
        <v>107</v>
      </c>
      <c r="C43" s="902"/>
      <c r="D43" s="1" t="s">
        <v>703</v>
      </c>
      <c r="E43" s="1" t="s">
        <v>704</v>
      </c>
      <c r="F43" s="33" t="s">
        <v>49</v>
      </c>
      <c r="G43" s="33" t="s">
        <v>315</v>
      </c>
      <c r="H43" s="1" t="s">
        <v>61</v>
      </c>
      <c r="I43" s="115">
        <v>41703</v>
      </c>
      <c r="J43" s="115">
        <v>41899</v>
      </c>
      <c r="K43" s="116">
        <v>2001076</v>
      </c>
      <c r="L43" s="116">
        <v>347656</v>
      </c>
      <c r="M43" s="1">
        <f t="shared" si="4"/>
        <v>0</v>
      </c>
      <c r="P43" s="1">
        <f t="shared" si="5"/>
        <v>0</v>
      </c>
      <c r="S43" s="1">
        <f t="shared" si="6"/>
        <v>0</v>
      </c>
      <c r="U43" s="116">
        <v>1653420</v>
      </c>
      <c r="X43" s="1" t="s">
        <v>517</v>
      </c>
      <c r="Y43" s="1">
        <v>0</v>
      </c>
      <c r="Z43" s="1">
        <v>0</v>
      </c>
      <c r="AA43" s="1" t="s">
        <v>53</v>
      </c>
      <c r="AB43" s="1" t="s">
        <v>530</v>
      </c>
      <c r="AC43" s="1" t="s">
        <v>53</v>
      </c>
      <c r="AD43" s="1" t="s">
        <v>524</v>
      </c>
      <c r="AE43" s="33" t="s">
        <v>705</v>
      </c>
      <c r="AF43" s="7"/>
      <c r="AG43" s="7"/>
      <c r="AH43" s="7"/>
      <c r="AI43" s="7"/>
      <c r="AJ43" s="7"/>
      <c r="AK43" s="7"/>
      <c r="AL43" s="7"/>
      <c r="AM43" s="7"/>
      <c r="AN43" s="7"/>
      <c r="AO43" s="7"/>
      <c r="AP43" s="7"/>
      <c r="AQ43" s="7"/>
      <c r="AR43" s="130"/>
      <c r="AS43" s="22"/>
      <c r="AT43" s="22"/>
      <c r="AU43" s="22"/>
      <c r="AV43" s="22"/>
      <c r="AW43" s="22"/>
      <c r="AX43" s="22"/>
      <c r="AY43" s="22"/>
      <c r="AZ43" s="22"/>
      <c r="BA43" s="22"/>
      <c r="BB43" s="22"/>
      <c r="BC43" s="22"/>
      <c r="BD43" s="22"/>
      <c r="BE43" s="130"/>
      <c r="BF43" s="22"/>
      <c r="BG43" s="22"/>
      <c r="BH43" s="22"/>
      <c r="BI43" s="22"/>
      <c r="BJ43" s="22"/>
      <c r="BK43" s="22"/>
      <c r="BL43" s="22"/>
      <c r="BM43" s="22"/>
      <c r="BN43" s="22"/>
      <c r="BO43" s="22"/>
      <c r="BP43" s="22"/>
      <c r="BQ43" s="22"/>
      <c r="BR43" s="111"/>
      <c r="DO43" s="1">
        <f t="shared" si="3"/>
        <v>0</v>
      </c>
      <c r="DU43" s="526"/>
    </row>
    <row r="44" spans="1:125" s="1" customFormat="1" ht="25.9" customHeight="1" x14ac:dyDescent="0.2">
      <c r="A44" s="6" t="s">
        <v>2051</v>
      </c>
      <c r="B44" s="33" t="s">
        <v>107</v>
      </c>
      <c r="C44" s="902"/>
      <c r="D44" s="44" t="s">
        <v>1911</v>
      </c>
      <c r="E44" s="1" t="s">
        <v>299</v>
      </c>
      <c r="F44" s="33" t="s">
        <v>49</v>
      </c>
      <c r="G44" s="33" t="s">
        <v>315</v>
      </c>
      <c r="H44" s="1" t="s">
        <v>61</v>
      </c>
      <c r="I44" s="115">
        <v>41704</v>
      </c>
      <c r="J44" s="115">
        <v>41888</v>
      </c>
      <c r="K44" s="116">
        <v>1927520</v>
      </c>
      <c r="L44" s="116">
        <v>1482228.72</v>
      </c>
      <c r="M44" s="1">
        <f t="shared" si="4"/>
        <v>0</v>
      </c>
      <c r="P44" s="1">
        <f t="shared" si="5"/>
        <v>0</v>
      </c>
      <c r="S44" s="1">
        <f t="shared" si="6"/>
        <v>0</v>
      </c>
      <c r="U44" s="116">
        <v>445291.28</v>
      </c>
      <c r="X44" s="1" t="s">
        <v>517</v>
      </c>
      <c r="Y44" s="1">
        <v>0</v>
      </c>
      <c r="Z44" s="1">
        <v>0</v>
      </c>
      <c r="AA44" s="1" t="s">
        <v>53</v>
      </c>
      <c r="AB44" s="1" t="s">
        <v>530</v>
      </c>
      <c r="AC44" s="1" t="s">
        <v>530</v>
      </c>
      <c r="AD44" s="1" t="s">
        <v>524</v>
      </c>
      <c r="AE44" s="33" t="s">
        <v>706</v>
      </c>
      <c r="AF44" s="7"/>
      <c r="AG44" s="7"/>
      <c r="AH44" s="7"/>
      <c r="AI44" s="7"/>
      <c r="AJ44" s="7"/>
      <c r="AK44" s="7"/>
      <c r="AL44" s="7"/>
      <c r="AM44" s="7"/>
      <c r="AN44" s="7"/>
      <c r="AO44" s="7"/>
      <c r="AP44" s="7"/>
      <c r="AQ44" s="7"/>
      <c r="AR44" s="130"/>
      <c r="AS44" s="22"/>
      <c r="AT44" s="22"/>
      <c r="AU44" s="22"/>
      <c r="AV44" s="22"/>
      <c r="AW44" s="22"/>
      <c r="AX44" s="22"/>
      <c r="AY44" s="22"/>
      <c r="AZ44" s="22"/>
      <c r="BA44" s="22"/>
      <c r="BB44" s="22"/>
      <c r="BC44" s="22"/>
      <c r="BD44" s="22"/>
      <c r="BE44" s="130"/>
      <c r="BF44" s="22"/>
      <c r="BG44" s="22"/>
      <c r="BH44" s="22"/>
      <c r="BI44" s="22"/>
      <c r="BJ44" s="22"/>
      <c r="BK44" s="22"/>
      <c r="BL44" s="22"/>
      <c r="BM44" s="22"/>
      <c r="BN44" s="22"/>
      <c r="BO44" s="22"/>
      <c r="BP44" s="22"/>
      <c r="BQ44" s="22"/>
      <c r="BR44" s="111"/>
      <c r="DO44" s="1">
        <f t="shared" si="3"/>
        <v>0</v>
      </c>
      <c r="DU44" s="526"/>
    </row>
    <row r="45" spans="1:125" s="1" customFormat="1" ht="25.9" customHeight="1" x14ac:dyDescent="0.2">
      <c r="A45" s="6" t="s">
        <v>2052</v>
      </c>
      <c r="B45" s="33" t="s">
        <v>107</v>
      </c>
      <c r="C45" s="902"/>
      <c r="D45" s="44" t="s">
        <v>2059</v>
      </c>
      <c r="E45" s="1" t="s">
        <v>603</v>
      </c>
      <c r="F45" s="33" t="s">
        <v>49</v>
      </c>
      <c r="G45" s="33" t="s">
        <v>315</v>
      </c>
      <c r="H45" s="1" t="s">
        <v>61</v>
      </c>
      <c r="I45" s="115">
        <v>42202</v>
      </c>
      <c r="J45" s="115">
        <v>42294</v>
      </c>
      <c r="K45" s="116">
        <v>300000</v>
      </c>
      <c r="L45" s="116">
        <v>300000</v>
      </c>
      <c r="M45" s="1">
        <f t="shared" si="4"/>
        <v>0</v>
      </c>
      <c r="P45" s="1">
        <f t="shared" si="5"/>
        <v>0</v>
      </c>
      <c r="S45" s="1">
        <f t="shared" si="6"/>
        <v>0</v>
      </c>
      <c r="U45" s="116">
        <v>0</v>
      </c>
      <c r="X45" s="1" t="s">
        <v>517</v>
      </c>
      <c r="Y45" s="1">
        <v>0</v>
      </c>
      <c r="Z45" s="1">
        <v>0</v>
      </c>
      <c r="AA45" s="1" t="s">
        <v>53</v>
      </c>
      <c r="AB45" s="1" t="s">
        <v>530</v>
      </c>
      <c r="AC45" s="1" t="s">
        <v>53</v>
      </c>
      <c r="AD45" s="1" t="s">
        <v>524</v>
      </c>
      <c r="AE45" s="33" t="s">
        <v>707</v>
      </c>
      <c r="AF45" s="7"/>
      <c r="AG45" s="7"/>
      <c r="AH45" s="7"/>
      <c r="AI45" s="7"/>
      <c r="AJ45" s="7"/>
      <c r="AK45" s="7"/>
      <c r="AL45" s="7"/>
      <c r="AM45" s="7"/>
      <c r="AN45" s="7"/>
      <c r="AO45" s="7"/>
      <c r="AP45" s="7"/>
      <c r="AQ45" s="7"/>
      <c r="AR45" s="130"/>
      <c r="AS45" s="11"/>
      <c r="AT45" s="11"/>
      <c r="AU45" s="11"/>
      <c r="AV45" s="11"/>
      <c r="AW45" s="11"/>
      <c r="AX45" s="11"/>
      <c r="AY45" s="11"/>
      <c r="AZ45" s="11"/>
      <c r="BA45" s="11"/>
      <c r="BB45" s="11"/>
      <c r="BC45" s="11"/>
      <c r="BD45" s="11"/>
      <c r="BE45" s="130"/>
      <c r="BF45" s="11"/>
      <c r="BG45" s="11"/>
      <c r="BH45" s="11"/>
      <c r="BI45" s="11"/>
      <c r="BJ45" s="11"/>
      <c r="BK45" s="11"/>
      <c r="BL45" s="11"/>
      <c r="BM45" s="11"/>
      <c r="BN45" s="11"/>
      <c r="BO45" s="11"/>
      <c r="BP45" s="11"/>
      <c r="BQ45" s="11"/>
      <c r="BR45" s="111"/>
      <c r="DO45" s="1">
        <f t="shared" si="3"/>
        <v>0</v>
      </c>
      <c r="DU45" s="526"/>
    </row>
    <row r="46" spans="1:125" s="1" customFormat="1" ht="25.9" customHeight="1" x14ac:dyDescent="0.2">
      <c r="A46" s="6" t="s">
        <v>2053</v>
      </c>
      <c r="B46" s="33" t="s">
        <v>107</v>
      </c>
      <c r="C46" s="902"/>
      <c r="D46" s="44" t="s">
        <v>1932</v>
      </c>
      <c r="E46" s="1" t="s">
        <v>709</v>
      </c>
      <c r="F46" s="33" t="s">
        <v>49</v>
      </c>
      <c r="G46" s="33" t="s">
        <v>315</v>
      </c>
      <c r="H46" s="1" t="s">
        <v>61</v>
      </c>
      <c r="I46" s="115">
        <v>41781</v>
      </c>
      <c r="J46" s="115">
        <v>41873</v>
      </c>
      <c r="K46" s="116">
        <v>280000</v>
      </c>
      <c r="L46" s="116">
        <v>139057</v>
      </c>
      <c r="M46" s="1">
        <f t="shared" si="4"/>
        <v>0</v>
      </c>
      <c r="P46" s="1">
        <f t="shared" si="5"/>
        <v>0</v>
      </c>
      <c r="S46" s="1">
        <f t="shared" si="6"/>
        <v>0</v>
      </c>
      <c r="U46" s="116">
        <v>140943</v>
      </c>
      <c r="X46" s="1" t="s">
        <v>517</v>
      </c>
      <c r="Y46" s="1">
        <v>0</v>
      </c>
      <c r="Z46" s="1">
        <v>0</v>
      </c>
      <c r="AA46" s="1" t="s">
        <v>53</v>
      </c>
      <c r="AB46" s="1" t="s">
        <v>530</v>
      </c>
      <c r="AC46" s="1" t="s">
        <v>53</v>
      </c>
      <c r="AD46" s="1" t="s">
        <v>524</v>
      </c>
      <c r="AE46" s="33" t="s">
        <v>710</v>
      </c>
      <c r="AF46" s="7"/>
      <c r="AG46" s="7"/>
      <c r="AH46" s="7"/>
      <c r="AI46" s="7"/>
      <c r="AJ46" s="7"/>
      <c r="AK46" s="7"/>
      <c r="AL46" s="7"/>
      <c r="AM46" s="7"/>
      <c r="AN46" s="7"/>
      <c r="AO46" s="7"/>
      <c r="AP46" s="7"/>
      <c r="AQ46" s="7"/>
      <c r="AR46" s="130"/>
      <c r="AS46" s="11"/>
      <c r="AT46" s="11"/>
      <c r="AU46" s="11"/>
      <c r="AV46" s="11"/>
      <c r="AW46" s="11"/>
      <c r="AX46" s="11"/>
      <c r="AY46" s="11"/>
      <c r="AZ46" s="11"/>
      <c r="BA46" s="11"/>
      <c r="BB46" s="11"/>
      <c r="BC46" s="11"/>
      <c r="BD46" s="11"/>
      <c r="BE46" s="130"/>
      <c r="BF46" s="11"/>
      <c r="BG46" s="11"/>
      <c r="BH46" s="11"/>
      <c r="BI46" s="11"/>
      <c r="BJ46" s="11"/>
      <c r="BK46" s="11"/>
      <c r="BL46" s="11"/>
      <c r="BM46" s="11"/>
      <c r="BN46" s="11"/>
      <c r="BO46" s="11"/>
      <c r="BP46" s="11"/>
      <c r="BQ46" s="11"/>
      <c r="BR46" s="111"/>
      <c r="DO46" s="1">
        <f t="shared" si="3"/>
        <v>0</v>
      </c>
      <c r="DU46" s="526"/>
    </row>
    <row r="47" spans="1:125" s="1" customFormat="1" ht="26.45" customHeight="1" x14ac:dyDescent="0.2">
      <c r="A47" s="6" t="s">
        <v>2054</v>
      </c>
      <c r="B47" s="33" t="s">
        <v>107</v>
      </c>
      <c r="C47" s="820"/>
      <c r="D47" s="44" t="s">
        <v>1628</v>
      </c>
      <c r="E47" s="1" t="s">
        <v>220</v>
      </c>
      <c r="F47" s="33" t="s">
        <v>49</v>
      </c>
      <c r="G47" s="33" t="s">
        <v>712</v>
      </c>
      <c r="H47" s="1" t="s">
        <v>51</v>
      </c>
      <c r="I47" s="115">
        <v>42191</v>
      </c>
      <c r="J47" s="115">
        <v>43287</v>
      </c>
      <c r="K47" s="116">
        <v>25863071.52</v>
      </c>
      <c r="L47" s="116">
        <v>71954082.649999976</v>
      </c>
      <c r="M47" s="1">
        <f t="shared" si="4"/>
        <v>8169875.3899999997</v>
      </c>
      <c r="P47" s="1">
        <f t="shared" si="5"/>
        <v>0</v>
      </c>
      <c r="S47" s="1">
        <f t="shared" si="6"/>
        <v>0</v>
      </c>
      <c r="U47" s="116">
        <v>-46091011.12999998</v>
      </c>
      <c r="X47" s="1" t="s">
        <v>52</v>
      </c>
      <c r="Y47" s="1">
        <v>0</v>
      </c>
      <c r="Z47" s="1">
        <v>0</v>
      </c>
      <c r="AA47" s="1" t="s">
        <v>53</v>
      </c>
      <c r="AB47" s="1" t="s">
        <v>53</v>
      </c>
      <c r="AC47" s="1" t="s">
        <v>53</v>
      </c>
      <c r="AD47" s="1" t="s">
        <v>524</v>
      </c>
      <c r="AE47" s="33" t="s">
        <v>713</v>
      </c>
      <c r="AF47" s="7"/>
      <c r="AG47" s="7"/>
      <c r="AH47" s="7"/>
      <c r="AI47" s="7"/>
      <c r="AJ47" s="7"/>
      <c r="AK47" s="7"/>
      <c r="AL47" s="7"/>
      <c r="AM47" s="7">
        <v>6696166.8899999997</v>
      </c>
      <c r="AN47" s="7"/>
      <c r="AO47" s="7"/>
      <c r="AP47" s="7">
        <v>1473708.5</v>
      </c>
      <c r="AQ47" s="7"/>
      <c r="AR47" s="130">
        <f>SUBTOTAL(9,AF47:AQ47)</f>
        <v>8169875.3899999997</v>
      </c>
      <c r="AS47" s="11"/>
      <c r="AT47" s="11"/>
      <c r="AU47" s="11"/>
      <c r="AV47" s="11"/>
      <c r="AW47" s="11"/>
      <c r="AX47" s="11"/>
      <c r="AY47" s="11"/>
      <c r="AZ47" s="11"/>
      <c r="BA47" s="11"/>
      <c r="BB47" s="11"/>
      <c r="BC47" s="11"/>
      <c r="BD47" s="11"/>
      <c r="BE47" s="130"/>
      <c r="BF47" s="11"/>
      <c r="BG47" s="11"/>
      <c r="BH47" s="11"/>
      <c r="BI47" s="11"/>
      <c r="BJ47" s="11"/>
      <c r="BK47" s="11"/>
      <c r="BL47" s="11"/>
      <c r="BM47" s="11"/>
      <c r="BN47" s="11"/>
      <c r="BO47" s="11"/>
      <c r="BP47" s="11"/>
      <c r="BQ47" s="11"/>
      <c r="BR47" s="111"/>
      <c r="DO47" s="1">
        <f t="shared" si="3"/>
        <v>0</v>
      </c>
      <c r="DU47" s="526"/>
    </row>
    <row r="48" spans="1:125" s="1" customFormat="1" ht="25.9" customHeight="1" x14ac:dyDescent="0.2">
      <c r="A48" s="6" t="s">
        <v>2051</v>
      </c>
      <c r="B48" s="33" t="s">
        <v>57</v>
      </c>
      <c r="C48" s="44" t="s">
        <v>2058</v>
      </c>
      <c r="D48" s="44" t="s">
        <v>2060</v>
      </c>
      <c r="E48" s="1" t="s">
        <v>299</v>
      </c>
      <c r="F48" s="33" t="s">
        <v>49</v>
      </c>
      <c r="G48" s="33" t="s">
        <v>315</v>
      </c>
      <c r="H48" s="1" t="s">
        <v>61</v>
      </c>
      <c r="I48" s="115">
        <v>42228</v>
      </c>
      <c r="J48" s="115">
        <v>42412</v>
      </c>
      <c r="K48" s="116">
        <v>2396694</v>
      </c>
      <c r="L48" s="116">
        <v>1361739</v>
      </c>
      <c r="M48" s="1">
        <f t="shared" si="4"/>
        <v>0</v>
      </c>
      <c r="P48" s="1">
        <f t="shared" si="5"/>
        <v>0</v>
      </c>
      <c r="S48" s="1">
        <f t="shared" si="6"/>
        <v>0</v>
      </c>
      <c r="U48" s="116">
        <v>1034955</v>
      </c>
      <c r="X48" s="1" t="s">
        <v>517</v>
      </c>
      <c r="Y48" s="1">
        <v>0</v>
      </c>
      <c r="Z48" s="1">
        <v>0</v>
      </c>
      <c r="AA48" s="1" t="s">
        <v>53</v>
      </c>
      <c r="AB48" s="1" t="s">
        <v>530</v>
      </c>
      <c r="AC48" s="1" t="s">
        <v>53</v>
      </c>
      <c r="AD48" s="1" t="s">
        <v>524</v>
      </c>
      <c r="AE48" s="33" t="s">
        <v>714</v>
      </c>
      <c r="AF48" s="7"/>
      <c r="AG48" s="7"/>
      <c r="AH48" s="7"/>
      <c r="AI48" s="7"/>
      <c r="AJ48" s="7"/>
      <c r="AK48" s="7"/>
      <c r="AL48" s="7"/>
      <c r="AM48" s="7"/>
      <c r="AN48" s="7"/>
      <c r="AO48" s="7"/>
      <c r="AP48" s="7"/>
      <c r="AQ48" s="7"/>
      <c r="AR48" s="130"/>
      <c r="AS48" s="11"/>
      <c r="AT48" s="11"/>
      <c r="AU48" s="11"/>
      <c r="AV48" s="11"/>
      <c r="AW48" s="11"/>
      <c r="AX48" s="11"/>
      <c r="AY48" s="11"/>
      <c r="AZ48" s="11"/>
      <c r="BA48" s="11"/>
      <c r="BB48" s="11"/>
      <c r="BC48" s="11"/>
      <c r="BD48" s="11"/>
      <c r="BE48" s="130"/>
      <c r="BF48" s="11"/>
      <c r="BG48" s="11"/>
      <c r="BH48" s="11"/>
      <c r="BI48" s="11"/>
      <c r="BJ48" s="11"/>
      <c r="BK48" s="11"/>
      <c r="BL48" s="11"/>
      <c r="BM48" s="11"/>
      <c r="BN48" s="11"/>
      <c r="BO48" s="11"/>
      <c r="BP48" s="11"/>
      <c r="BQ48" s="11"/>
      <c r="BR48" s="111"/>
      <c r="DO48" s="1">
        <f t="shared" si="3"/>
        <v>0</v>
      </c>
      <c r="DU48" s="526"/>
    </row>
    <row r="49" spans="1:120" s="1" customFormat="1" ht="25.9" customHeight="1" x14ac:dyDescent="0.2">
      <c r="A49" s="6" t="s">
        <v>715</v>
      </c>
      <c r="B49" s="33" t="s">
        <v>57</v>
      </c>
      <c r="C49" s="33" t="s">
        <v>716</v>
      </c>
      <c r="D49" s="1" t="s">
        <v>717</v>
      </c>
      <c r="E49" s="1" t="s">
        <v>718</v>
      </c>
      <c r="F49" s="33" t="s">
        <v>49</v>
      </c>
      <c r="G49" s="33" t="s">
        <v>522</v>
      </c>
      <c r="H49" s="1" t="s">
        <v>389</v>
      </c>
      <c r="I49" s="115">
        <v>41746</v>
      </c>
      <c r="J49" s="115">
        <v>41776</v>
      </c>
      <c r="K49" s="116">
        <v>300290</v>
      </c>
      <c r="L49" s="116">
        <v>299342</v>
      </c>
      <c r="M49" s="1">
        <f t="shared" si="4"/>
        <v>0</v>
      </c>
      <c r="P49" s="1">
        <f t="shared" si="5"/>
        <v>0</v>
      </c>
      <c r="S49" s="1">
        <f t="shared" si="6"/>
        <v>0</v>
      </c>
      <c r="U49" s="116">
        <v>948</v>
      </c>
      <c r="X49" s="1" t="s">
        <v>517</v>
      </c>
      <c r="Y49" s="1">
        <v>0</v>
      </c>
      <c r="Z49" s="1">
        <v>0</v>
      </c>
      <c r="AA49" s="1" t="s">
        <v>53</v>
      </c>
      <c r="AB49" s="1" t="s">
        <v>530</v>
      </c>
      <c r="AC49" s="1" t="s">
        <v>53</v>
      </c>
      <c r="AD49" s="1" t="s">
        <v>524</v>
      </c>
      <c r="AE49" s="33" t="s">
        <v>719</v>
      </c>
      <c r="AF49" s="7"/>
      <c r="AG49" s="7"/>
      <c r="AH49" s="7"/>
      <c r="AI49" s="7"/>
      <c r="AJ49" s="7"/>
      <c r="AK49" s="7"/>
      <c r="AL49" s="7"/>
      <c r="AM49" s="7"/>
      <c r="AN49" s="7"/>
      <c r="AO49" s="7"/>
      <c r="AP49" s="7"/>
      <c r="AQ49" s="7"/>
      <c r="AR49" s="130"/>
      <c r="AS49" s="11"/>
      <c r="AT49" s="11"/>
      <c r="AU49" s="11"/>
      <c r="AV49" s="11"/>
      <c r="AW49" s="11"/>
      <c r="AX49" s="11"/>
      <c r="AY49" s="11"/>
      <c r="AZ49" s="11"/>
      <c r="BA49" s="11"/>
      <c r="BB49" s="11"/>
      <c r="BC49" s="11"/>
      <c r="BD49" s="11"/>
      <c r="BE49" s="130"/>
      <c r="BF49" s="11"/>
      <c r="BG49" s="11"/>
      <c r="BH49" s="11"/>
      <c r="BI49" s="11"/>
      <c r="BJ49" s="11"/>
      <c r="BK49" s="11"/>
      <c r="BL49" s="11"/>
      <c r="BM49" s="11"/>
      <c r="BN49" s="11"/>
      <c r="BO49" s="11"/>
      <c r="BP49" s="11"/>
      <c r="BQ49" s="11"/>
      <c r="BR49" s="127"/>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c r="CS49" s="19"/>
      <c r="CT49" s="19"/>
      <c r="CU49" s="19"/>
      <c r="CV49" s="19"/>
      <c r="CW49" s="19"/>
      <c r="CX49" s="19"/>
      <c r="CY49" s="19"/>
      <c r="CZ49" s="19"/>
      <c r="DA49" s="19"/>
      <c r="DB49" s="19"/>
      <c r="DO49" s="1">
        <f t="shared" si="3"/>
        <v>0</v>
      </c>
      <c r="DP49" s="526"/>
    </row>
    <row r="50" spans="1:120" s="1" customFormat="1" ht="25.9" customHeight="1" x14ac:dyDescent="0.2">
      <c r="A50" s="6" t="s">
        <v>720</v>
      </c>
      <c r="B50" s="33" t="s">
        <v>57</v>
      </c>
      <c r="C50" s="33" t="s">
        <v>721</v>
      </c>
      <c r="D50" s="1" t="s">
        <v>722</v>
      </c>
      <c r="E50" s="1" t="s">
        <v>723</v>
      </c>
      <c r="F50" s="33" t="s">
        <v>49</v>
      </c>
      <c r="G50" s="33" t="s">
        <v>569</v>
      </c>
      <c r="H50" s="1" t="s">
        <v>389</v>
      </c>
      <c r="I50" s="115">
        <v>41884</v>
      </c>
      <c r="J50" s="115">
        <v>41884</v>
      </c>
      <c r="K50" s="116">
        <v>1384991</v>
      </c>
      <c r="L50" s="116">
        <v>1384991</v>
      </c>
      <c r="M50" s="1">
        <f t="shared" si="4"/>
        <v>0</v>
      </c>
      <c r="P50" s="1">
        <f t="shared" si="5"/>
        <v>0</v>
      </c>
      <c r="S50" s="1">
        <f t="shared" si="6"/>
        <v>0</v>
      </c>
      <c r="U50" s="116">
        <v>0</v>
      </c>
      <c r="X50" s="1" t="s">
        <v>517</v>
      </c>
      <c r="Y50" s="1">
        <v>0</v>
      </c>
      <c r="Z50" s="1">
        <v>0</v>
      </c>
      <c r="AA50" s="1" t="s">
        <v>53</v>
      </c>
      <c r="AB50" s="1" t="s">
        <v>530</v>
      </c>
      <c r="AC50" s="1" t="s">
        <v>53</v>
      </c>
      <c r="AD50" s="1" t="s">
        <v>524</v>
      </c>
      <c r="AE50" s="33" t="s">
        <v>724</v>
      </c>
      <c r="AF50" s="7"/>
      <c r="AG50" s="7"/>
      <c r="AH50" s="7"/>
      <c r="AI50" s="7"/>
      <c r="AJ50" s="7"/>
      <c r="AK50" s="7"/>
      <c r="AL50" s="7"/>
      <c r="AM50" s="7"/>
      <c r="AN50" s="7"/>
      <c r="AO50" s="7"/>
      <c r="AP50" s="7"/>
      <c r="AQ50" s="7"/>
      <c r="AR50" s="130"/>
      <c r="AS50" s="11"/>
      <c r="AT50" s="11"/>
      <c r="AU50" s="11"/>
      <c r="AV50" s="11"/>
      <c r="AW50" s="11"/>
      <c r="AX50" s="11"/>
      <c r="AY50" s="11"/>
      <c r="AZ50" s="11"/>
      <c r="BA50" s="11"/>
      <c r="BB50" s="11"/>
      <c r="BC50" s="11"/>
      <c r="BD50" s="11"/>
      <c r="BE50" s="130"/>
      <c r="BF50" s="11"/>
      <c r="BG50" s="11"/>
      <c r="BH50" s="11"/>
      <c r="BI50" s="11"/>
      <c r="BJ50" s="11"/>
      <c r="BK50" s="11"/>
      <c r="BL50" s="11"/>
      <c r="BM50" s="11"/>
      <c r="BN50" s="11"/>
      <c r="BO50" s="11"/>
      <c r="BP50" s="11"/>
      <c r="BQ50" s="11"/>
      <c r="BR50" s="127"/>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c r="CR50" s="19"/>
      <c r="CS50" s="19"/>
      <c r="CT50" s="19"/>
      <c r="CU50" s="19"/>
      <c r="CV50" s="19"/>
      <c r="CW50" s="19"/>
      <c r="CX50" s="19"/>
      <c r="CY50" s="19"/>
      <c r="CZ50" s="19"/>
      <c r="DA50" s="19"/>
      <c r="DB50" s="19"/>
      <c r="DO50" s="1">
        <f t="shared" si="3"/>
        <v>0</v>
      </c>
      <c r="DP50" s="526"/>
    </row>
    <row r="51" spans="1:120" s="1" customFormat="1" ht="25.9" customHeight="1" x14ac:dyDescent="0.2">
      <c r="A51" s="6" t="s">
        <v>725</v>
      </c>
      <c r="B51" s="33" t="s">
        <v>57</v>
      </c>
      <c r="C51" s="33" t="s">
        <v>726</v>
      </c>
      <c r="D51" s="1" t="s">
        <v>727</v>
      </c>
      <c r="E51" s="1" t="s">
        <v>728</v>
      </c>
      <c r="F51" s="33" t="s">
        <v>49</v>
      </c>
      <c r="G51" s="33" t="s">
        <v>315</v>
      </c>
      <c r="H51" s="1" t="s">
        <v>61</v>
      </c>
      <c r="I51" s="115">
        <v>41739</v>
      </c>
      <c r="J51" s="115">
        <v>41922</v>
      </c>
      <c r="K51" s="116">
        <v>1595637.02</v>
      </c>
      <c r="L51" s="116">
        <v>401084</v>
      </c>
      <c r="M51" s="1">
        <f t="shared" si="4"/>
        <v>0</v>
      </c>
      <c r="P51" s="1">
        <f t="shared" si="5"/>
        <v>0</v>
      </c>
      <c r="S51" s="1">
        <f t="shared" si="6"/>
        <v>0</v>
      </c>
      <c r="U51" s="116">
        <v>1194553.02</v>
      </c>
      <c r="X51" s="1" t="s">
        <v>517</v>
      </c>
      <c r="Y51" s="1">
        <v>0</v>
      </c>
      <c r="Z51" s="1">
        <v>0</v>
      </c>
      <c r="AA51" s="1" t="s">
        <v>53</v>
      </c>
      <c r="AB51" s="1" t="s">
        <v>530</v>
      </c>
      <c r="AC51" s="1" t="s">
        <v>53</v>
      </c>
      <c r="AD51" s="1" t="s">
        <v>524</v>
      </c>
      <c r="AE51" s="33" t="s">
        <v>729</v>
      </c>
      <c r="AF51" s="35"/>
      <c r="AG51" s="35"/>
      <c r="AH51" s="35"/>
      <c r="AI51" s="35"/>
      <c r="AJ51" s="35"/>
      <c r="AK51" s="35"/>
      <c r="AL51" s="35"/>
      <c r="AM51" s="35"/>
      <c r="AN51" s="35"/>
      <c r="AO51" s="35"/>
      <c r="AP51" s="35"/>
      <c r="AQ51" s="35"/>
      <c r="AR51" s="131"/>
      <c r="AS51" s="35"/>
      <c r="AT51" s="35"/>
      <c r="AU51" s="35"/>
      <c r="AV51" s="35"/>
      <c r="AW51" s="35"/>
      <c r="AX51" s="35"/>
      <c r="AY51" s="35"/>
      <c r="AZ51" s="35"/>
      <c r="BA51" s="35"/>
      <c r="BB51" s="35"/>
      <c r="BC51" s="35"/>
      <c r="BD51" s="35"/>
      <c r="BE51" s="131"/>
      <c r="BF51" s="35"/>
      <c r="BG51" s="35"/>
      <c r="BH51" s="35"/>
      <c r="BI51" s="35"/>
      <c r="BJ51" s="35"/>
      <c r="BK51" s="35"/>
      <c r="BL51" s="35"/>
      <c r="BM51" s="35"/>
      <c r="BN51" s="35"/>
      <c r="BO51" s="35"/>
      <c r="BP51" s="35"/>
      <c r="BQ51" s="35"/>
      <c r="BR51" s="128"/>
      <c r="BS51" s="19"/>
      <c r="BT51" s="19"/>
      <c r="BU51" s="19"/>
      <c r="BV51" s="19"/>
      <c r="BW51" s="19"/>
      <c r="BX51" s="19"/>
      <c r="BY51" s="19"/>
      <c r="BZ51" s="19"/>
      <c r="CA51" s="19"/>
      <c r="CB51" s="19"/>
      <c r="CC51" s="19"/>
      <c r="CD51" s="19"/>
      <c r="CE51" s="19"/>
      <c r="CF51" s="19"/>
      <c r="CG51" s="19"/>
      <c r="CH51" s="19"/>
      <c r="CI51" s="19"/>
      <c r="CJ51" s="19"/>
      <c r="CK51" s="19"/>
      <c r="CL51" s="19"/>
      <c r="CM51" s="19"/>
      <c r="CN51" s="19"/>
      <c r="CO51" s="19"/>
      <c r="CP51" s="19"/>
      <c r="CQ51" s="19"/>
      <c r="CR51" s="19"/>
      <c r="CS51" s="19"/>
      <c r="CT51" s="19"/>
      <c r="CU51" s="19"/>
      <c r="CV51" s="19"/>
      <c r="CW51" s="19"/>
      <c r="CX51" s="19"/>
      <c r="CY51" s="19"/>
      <c r="CZ51" s="19"/>
      <c r="DA51" s="19"/>
      <c r="DB51" s="19"/>
      <c r="DO51" s="1">
        <f t="shared" si="3"/>
        <v>0</v>
      </c>
      <c r="DP51" s="526"/>
    </row>
    <row r="52" spans="1:120" s="1" customFormat="1" ht="25.9" customHeight="1" x14ac:dyDescent="0.2">
      <c r="A52" s="6" t="s">
        <v>730</v>
      </c>
      <c r="B52" s="33" t="s">
        <v>57</v>
      </c>
      <c r="C52" s="33" t="s">
        <v>731</v>
      </c>
      <c r="D52" s="1" t="s">
        <v>732</v>
      </c>
      <c r="E52" s="1" t="s">
        <v>733</v>
      </c>
      <c r="F52" s="33" t="s">
        <v>49</v>
      </c>
      <c r="G52" s="33" t="s">
        <v>734</v>
      </c>
      <c r="H52" s="1" t="s">
        <v>329</v>
      </c>
      <c r="I52" s="115">
        <v>42103</v>
      </c>
      <c r="J52" s="115">
        <v>42194</v>
      </c>
      <c r="K52" s="116">
        <v>402507.6</v>
      </c>
      <c r="L52" s="116">
        <v>402507.6</v>
      </c>
      <c r="M52" s="1">
        <f t="shared" si="4"/>
        <v>0</v>
      </c>
      <c r="P52" s="1">
        <f t="shared" si="5"/>
        <v>0</v>
      </c>
      <c r="S52" s="1">
        <f t="shared" si="6"/>
        <v>0</v>
      </c>
      <c r="U52" s="116">
        <v>0</v>
      </c>
      <c r="X52" s="1" t="s">
        <v>517</v>
      </c>
      <c r="Y52" s="1">
        <v>0</v>
      </c>
      <c r="Z52" s="1">
        <v>0</v>
      </c>
      <c r="AA52" s="1" t="s">
        <v>53</v>
      </c>
      <c r="AB52" s="1" t="s">
        <v>530</v>
      </c>
      <c r="AC52" s="1" t="s">
        <v>53</v>
      </c>
      <c r="AD52" s="1" t="s">
        <v>524</v>
      </c>
      <c r="AE52" s="33" t="s">
        <v>735</v>
      </c>
      <c r="AF52" s="7"/>
      <c r="AG52" s="7"/>
      <c r="AH52" s="7"/>
      <c r="AI52" s="7"/>
      <c r="AJ52" s="7"/>
      <c r="AK52" s="7"/>
      <c r="AL52" s="7"/>
      <c r="AM52" s="7"/>
      <c r="AN52" s="7"/>
      <c r="AO52" s="7"/>
      <c r="AP52" s="7"/>
      <c r="AQ52" s="7"/>
      <c r="AR52" s="130"/>
      <c r="AS52" s="9"/>
      <c r="AT52" s="9"/>
      <c r="AU52" s="9"/>
      <c r="AV52" s="9"/>
      <c r="AW52" s="9"/>
      <c r="AX52" s="9"/>
      <c r="AY52" s="9"/>
      <c r="AZ52" s="9"/>
      <c r="BA52" s="9"/>
      <c r="BB52" s="9"/>
      <c r="BC52" s="9"/>
      <c r="BD52" s="9"/>
      <c r="BE52" s="130"/>
      <c r="BF52" s="9"/>
      <c r="BG52" s="9"/>
      <c r="BH52" s="9"/>
      <c r="BI52" s="9"/>
      <c r="BJ52" s="9"/>
      <c r="BK52" s="9"/>
      <c r="BL52" s="9"/>
      <c r="BM52" s="9"/>
      <c r="BN52" s="9"/>
      <c r="BO52" s="9"/>
      <c r="BP52" s="9"/>
      <c r="BQ52" s="9"/>
      <c r="BR52" s="127"/>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c r="CS52" s="19"/>
      <c r="CT52" s="19"/>
      <c r="CU52" s="19"/>
      <c r="CV52" s="19"/>
      <c r="CW52" s="19"/>
      <c r="CX52" s="19"/>
      <c r="CY52" s="19"/>
      <c r="CZ52" s="19"/>
      <c r="DA52" s="19"/>
      <c r="DB52" s="19"/>
      <c r="DO52" s="1">
        <f t="shared" si="3"/>
        <v>0</v>
      </c>
      <c r="DP52" s="526"/>
    </row>
    <row r="53" spans="1:120" s="1" customFormat="1" ht="25.9" customHeight="1" x14ac:dyDescent="0.2">
      <c r="A53" s="6" t="s">
        <v>736</v>
      </c>
      <c r="B53" s="33" t="s">
        <v>57</v>
      </c>
      <c r="C53" s="33" t="s">
        <v>737</v>
      </c>
      <c r="D53" s="1" t="s">
        <v>738</v>
      </c>
      <c r="E53" s="1" t="s">
        <v>739</v>
      </c>
      <c r="F53" s="33" t="s">
        <v>49</v>
      </c>
      <c r="G53" s="33" t="s">
        <v>354</v>
      </c>
      <c r="H53" s="1" t="s">
        <v>389</v>
      </c>
      <c r="I53" s="115">
        <v>41941</v>
      </c>
      <c r="J53" s="115">
        <v>41955</v>
      </c>
      <c r="K53" s="116">
        <v>465279.14</v>
      </c>
      <c r="L53" s="116">
        <v>465279.14</v>
      </c>
      <c r="M53" s="1">
        <f t="shared" si="4"/>
        <v>0</v>
      </c>
      <c r="P53" s="1">
        <f t="shared" si="5"/>
        <v>0</v>
      </c>
      <c r="S53" s="1">
        <f t="shared" si="6"/>
        <v>0</v>
      </c>
      <c r="U53" s="116">
        <v>0</v>
      </c>
      <c r="X53" s="1" t="s">
        <v>517</v>
      </c>
      <c r="Y53" s="1">
        <v>0</v>
      </c>
      <c r="Z53" s="1">
        <v>0</v>
      </c>
      <c r="AA53" s="1" t="s">
        <v>53</v>
      </c>
      <c r="AB53" s="1" t="s">
        <v>530</v>
      </c>
      <c r="AC53" s="1" t="s">
        <v>53</v>
      </c>
      <c r="AD53" s="1" t="s">
        <v>524</v>
      </c>
      <c r="AE53" s="33" t="s">
        <v>740</v>
      </c>
      <c r="AF53" s="7"/>
      <c r="AG53" s="7"/>
      <c r="AH53" s="7"/>
      <c r="AI53" s="7"/>
      <c r="AJ53" s="7"/>
      <c r="AK53" s="7"/>
      <c r="AL53" s="7"/>
      <c r="AM53" s="7"/>
      <c r="AN53" s="7"/>
      <c r="AO53" s="7"/>
      <c r="AP53" s="7"/>
      <c r="AQ53" s="7"/>
      <c r="AR53" s="130"/>
      <c r="AS53" s="9"/>
      <c r="AT53" s="9"/>
      <c r="AU53" s="9"/>
      <c r="AV53" s="9"/>
      <c r="AW53" s="9"/>
      <c r="AX53" s="9"/>
      <c r="AY53" s="9"/>
      <c r="AZ53" s="9"/>
      <c r="BA53" s="9"/>
      <c r="BB53" s="9"/>
      <c r="BC53" s="9"/>
      <c r="BD53" s="9"/>
      <c r="BE53" s="130"/>
      <c r="BF53" s="9"/>
      <c r="BG53" s="9"/>
      <c r="BH53" s="9"/>
      <c r="BI53" s="9"/>
      <c r="BJ53" s="9"/>
      <c r="BK53" s="9"/>
      <c r="BL53" s="9"/>
      <c r="BM53" s="9"/>
      <c r="BN53" s="9"/>
      <c r="BO53" s="9"/>
      <c r="BP53" s="9"/>
      <c r="BQ53" s="9"/>
      <c r="BR53" s="127"/>
      <c r="BS53" s="19"/>
      <c r="BT53" s="19"/>
      <c r="BU53" s="19"/>
      <c r="BV53" s="19"/>
      <c r="BW53" s="19"/>
      <c r="BX53" s="19"/>
      <c r="BY53" s="19"/>
      <c r="BZ53" s="19"/>
      <c r="CA53" s="19"/>
      <c r="CB53" s="19"/>
      <c r="CC53" s="19"/>
      <c r="CD53" s="19"/>
      <c r="CE53" s="19"/>
      <c r="CF53" s="19"/>
      <c r="CG53" s="19"/>
      <c r="CH53" s="19"/>
      <c r="CI53" s="19"/>
      <c r="CJ53" s="19"/>
      <c r="CK53" s="19"/>
      <c r="CL53" s="19"/>
      <c r="CM53" s="19"/>
      <c r="CN53" s="19"/>
      <c r="CO53" s="19"/>
      <c r="CP53" s="19"/>
      <c r="CQ53" s="19"/>
      <c r="CR53" s="19"/>
      <c r="CS53" s="19"/>
      <c r="CT53" s="19"/>
      <c r="CU53" s="19"/>
      <c r="CV53" s="19"/>
      <c r="CW53" s="19"/>
      <c r="CX53" s="19"/>
      <c r="CY53" s="19"/>
      <c r="CZ53" s="19"/>
      <c r="DA53" s="19"/>
      <c r="DB53" s="19"/>
      <c r="DO53" s="1">
        <f t="shared" si="3"/>
        <v>0</v>
      </c>
      <c r="DP53" s="526"/>
    </row>
    <row r="54" spans="1:120" s="1" customFormat="1" ht="25.9" customHeight="1" x14ac:dyDescent="0.2">
      <c r="A54" s="6" t="s">
        <v>741</v>
      </c>
      <c r="B54" s="33" t="s">
        <v>57</v>
      </c>
      <c r="C54" s="33" t="s">
        <v>742</v>
      </c>
      <c r="D54" s="1" t="s">
        <v>91</v>
      </c>
      <c r="E54" s="1" t="s">
        <v>92</v>
      </c>
      <c r="F54" s="33" t="s">
        <v>49</v>
      </c>
      <c r="G54" s="33" t="s">
        <v>315</v>
      </c>
      <c r="H54" s="1" t="s">
        <v>61</v>
      </c>
      <c r="I54" s="115">
        <v>42083</v>
      </c>
      <c r="J54" s="115">
        <v>42236</v>
      </c>
      <c r="K54" s="116">
        <v>4292286.5</v>
      </c>
      <c r="L54" s="116">
        <v>8001559.9000000004</v>
      </c>
      <c r="M54" s="1">
        <f t="shared" si="4"/>
        <v>0</v>
      </c>
      <c r="P54" s="1">
        <f t="shared" si="5"/>
        <v>0</v>
      </c>
      <c r="S54" s="1">
        <f t="shared" si="6"/>
        <v>0</v>
      </c>
      <c r="U54" s="116">
        <v>-3709273.4000000004</v>
      </c>
      <c r="X54" s="1" t="s">
        <v>517</v>
      </c>
      <c r="Y54" s="1">
        <v>0</v>
      </c>
      <c r="Z54" s="1">
        <v>0</v>
      </c>
      <c r="AA54" s="1" t="s">
        <v>53</v>
      </c>
      <c r="AB54" s="1" t="s">
        <v>530</v>
      </c>
      <c r="AC54" s="1" t="s">
        <v>53</v>
      </c>
      <c r="AD54" s="1" t="s">
        <v>524</v>
      </c>
      <c r="AE54" s="33" t="s">
        <v>743</v>
      </c>
      <c r="AF54" s="7"/>
      <c r="AG54" s="7"/>
      <c r="AH54" s="7"/>
      <c r="AI54" s="7"/>
      <c r="AJ54" s="7"/>
      <c r="AK54" s="7"/>
      <c r="AL54" s="7"/>
      <c r="AM54" s="7"/>
      <c r="AN54" s="7"/>
      <c r="AO54" s="7"/>
      <c r="AP54" s="7"/>
      <c r="AQ54" s="7"/>
      <c r="AR54" s="130"/>
      <c r="AS54" s="9"/>
      <c r="AT54" s="9"/>
      <c r="AU54" s="9"/>
      <c r="AV54" s="9"/>
      <c r="AW54" s="9"/>
      <c r="AX54" s="9"/>
      <c r="AY54" s="9"/>
      <c r="AZ54" s="9"/>
      <c r="BA54" s="9"/>
      <c r="BB54" s="9"/>
      <c r="BC54" s="9"/>
      <c r="BD54" s="9"/>
      <c r="BE54" s="130"/>
      <c r="BF54" s="9"/>
      <c r="BG54" s="9"/>
      <c r="BH54" s="9"/>
      <c r="BI54" s="9"/>
      <c r="BJ54" s="9"/>
      <c r="BK54" s="9"/>
      <c r="BL54" s="9"/>
      <c r="BM54" s="9"/>
      <c r="BN54" s="9"/>
      <c r="BO54" s="9"/>
      <c r="BP54" s="9"/>
      <c r="BQ54" s="9"/>
      <c r="BR54" s="127"/>
      <c r="BS54" s="19"/>
      <c r="BT54" s="19"/>
      <c r="BU54" s="19"/>
      <c r="BV54" s="19"/>
      <c r="BW54" s="19"/>
      <c r="BX54" s="19"/>
      <c r="BY54" s="19"/>
      <c r="BZ54" s="19"/>
      <c r="CA54" s="19"/>
      <c r="CB54" s="19"/>
      <c r="CC54" s="19"/>
      <c r="CD54" s="19"/>
      <c r="CE54" s="19"/>
      <c r="CF54" s="19"/>
      <c r="CG54" s="19"/>
      <c r="CH54" s="19"/>
      <c r="CI54" s="19"/>
      <c r="CJ54" s="19"/>
      <c r="CK54" s="19"/>
      <c r="CL54" s="19"/>
      <c r="CM54" s="19"/>
      <c r="CN54" s="19"/>
      <c r="CO54" s="19"/>
      <c r="CP54" s="19"/>
      <c r="CQ54" s="19"/>
      <c r="CR54" s="19"/>
      <c r="CS54" s="19"/>
      <c r="CT54" s="19"/>
      <c r="CU54" s="19"/>
      <c r="CV54" s="19"/>
      <c r="CW54" s="19"/>
      <c r="CX54" s="19"/>
      <c r="CY54" s="19"/>
      <c r="CZ54" s="19"/>
      <c r="DA54" s="19"/>
      <c r="DB54" s="19"/>
      <c r="DO54" s="1">
        <f t="shared" si="3"/>
        <v>0</v>
      </c>
      <c r="DP54" s="526"/>
    </row>
    <row r="55" spans="1:120" s="1" customFormat="1" ht="25.9" customHeight="1" x14ac:dyDescent="0.2">
      <c r="A55" s="6" t="s">
        <v>744</v>
      </c>
      <c r="B55" s="33" t="s">
        <v>57</v>
      </c>
      <c r="C55" s="33" t="s">
        <v>745</v>
      </c>
      <c r="D55" s="1" t="s">
        <v>746</v>
      </c>
      <c r="E55" s="1" t="s">
        <v>747</v>
      </c>
      <c r="F55" s="33" t="s">
        <v>49</v>
      </c>
      <c r="G55" s="33" t="s">
        <v>315</v>
      </c>
      <c r="H55" s="1" t="s">
        <v>61</v>
      </c>
      <c r="I55" s="115">
        <v>41199</v>
      </c>
      <c r="J55" s="115">
        <v>41381</v>
      </c>
      <c r="K55" s="116">
        <v>4386985.45</v>
      </c>
      <c r="L55" s="116">
        <v>4386985</v>
      </c>
      <c r="M55" s="1">
        <f t="shared" si="4"/>
        <v>0</v>
      </c>
      <c r="P55" s="1">
        <f t="shared" si="5"/>
        <v>0</v>
      </c>
      <c r="S55" s="1">
        <f t="shared" si="6"/>
        <v>0</v>
      </c>
      <c r="U55" s="116">
        <v>0.45000000018626451</v>
      </c>
      <c r="X55" s="1" t="s">
        <v>517</v>
      </c>
      <c r="Y55" s="1">
        <v>0</v>
      </c>
      <c r="Z55" s="1">
        <v>0</v>
      </c>
      <c r="AA55" s="1" t="s">
        <v>53</v>
      </c>
      <c r="AB55" s="1" t="s">
        <v>530</v>
      </c>
      <c r="AC55" s="1" t="s">
        <v>530</v>
      </c>
      <c r="AD55" s="1" t="s">
        <v>524</v>
      </c>
      <c r="AE55" s="33" t="s">
        <v>748</v>
      </c>
      <c r="AF55" s="7"/>
      <c r="AG55" s="7"/>
      <c r="AH55" s="7"/>
      <c r="AI55" s="7"/>
      <c r="AJ55" s="7"/>
      <c r="AK55" s="7"/>
      <c r="AL55" s="7"/>
      <c r="AM55" s="7"/>
      <c r="AN55" s="7"/>
      <c r="AO55" s="7"/>
      <c r="AP55" s="7"/>
      <c r="AQ55" s="7"/>
      <c r="AR55" s="130"/>
      <c r="AS55" s="9"/>
      <c r="AT55" s="9"/>
      <c r="AU55" s="9"/>
      <c r="AV55" s="9"/>
      <c r="AW55" s="9"/>
      <c r="AX55" s="9"/>
      <c r="AY55" s="9"/>
      <c r="AZ55" s="9"/>
      <c r="BA55" s="9"/>
      <c r="BB55" s="9"/>
      <c r="BC55" s="9"/>
      <c r="BD55" s="9"/>
      <c r="BE55" s="130"/>
      <c r="BF55" s="9"/>
      <c r="BG55" s="9"/>
      <c r="BH55" s="9"/>
      <c r="BI55" s="9"/>
      <c r="BJ55" s="9"/>
      <c r="BK55" s="9"/>
      <c r="BL55" s="9"/>
      <c r="BM55" s="9"/>
      <c r="BN55" s="9"/>
      <c r="BO55" s="9"/>
      <c r="BP55" s="9"/>
      <c r="BQ55" s="9"/>
      <c r="BR55" s="127"/>
      <c r="BS55" s="19"/>
      <c r="BT55" s="19"/>
      <c r="BU55" s="19"/>
      <c r="BV55" s="19"/>
      <c r="BW55" s="19"/>
      <c r="BX55" s="19"/>
      <c r="BY55" s="19"/>
      <c r="BZ55" s="19"/>
      <c r="CA55" s="19"/>
      <c r="CB55" s="19"/>
      <c r="CC55" s="19"/>
      <c r="CD55" s="19"/>
      <c r="CE55" s="19"/>
      <c r="CF55" s="19"/>
      <c r="CG55" s="19"/>
      <c r="CH55" s="19"/>
      <c r="CI55" s="19"/>
      <c r="CJ55" s="19"/>
      <c r="CK55" s="19"/>
      <c r="CL55" s="19"/>
      <c r="CM55" s="19"/>
      <c r="CN55" s="19"/>
      <c r="CO55" s="19"/>
      <c r="CP55" s="19"/>
      <c r="CQ55" s="19"/>
      <c r="CR55" s="19"/>
      <c r="CS55" s="19"/>
      <c r="CT55" s="19"/>
      <c r="CU55" s="19"/>
      <c r="CV55" s="19"/>
      <c r="CW55" s="19"/>
      <c r="CX55" s="19"/>
      <c r="CY55" s="19"/>
      <c r="CZ55" s="19"/>
      <c r="DA55" s="19"/>
      <c r="DB55" s="19"/>
      <c r="DO55" s="1">
        <f t="shared" si="3"/>
        <v>0</v>
      </c>
      <c r="DP55" s="526"/>
    </row>
    <row r="56" spans="1:120" s="1" customFormat="1" ht="25.9" customHeight="1" x14ac:dyDescent="0.2">
      <c r="A56" s="6" t="s">
        <v>749</v>
      </c>
      <c r="B56" s="33" t="s">
        <v>57</v>
      </c>
      <c r="C56" s="33" t="s">
        <v>750</v>
      </c>
      <c r="D56" s="1" t="s">
        <v>751</v>
      </c>
      <c r="E56" s="1" t="s">
        <v>752</v>
      </c>
      <c r="F56" s="33" t="s">
        <v>49</v>
      </c>
      <c r="G56" s="33" t="s">
        <v>343</v>
      </c>
      <c r="H56" s="1" t="s">
        <v>563</v>
      </c>
      <c r="I56" s="115">
        <v>41737</v>
      </c>
      <c r="J56" s="115">
        <v>41828</v>
      </c>
      <c r="K56" s="116">
        <v>600000</v>
      </c>
      <c r="L56" s="116">
        <v>420000</v>
      </c>
      <c r="M56" s="1">
        <f t="shared" si="4"/>
        <v>0</v>
      </c>
      <c r="P56" s="1">
        <f t="shared" si="5"/>
        <v>0</v>
      </c>
      <c r="S56" s="1">
        <f t="shared" si="6"/>
        <v>0</v>
      </c>
      <c r="U56" s="116">
        <v>180000</v>
      </c>
      <c r="X56" s="1" t="s">
        <v>517</v>
      </c>
      <c r="Y56" s="1">
        <v>0</v>
      </c>
      <c r="Z56" s="1">
        <v>0</v>
      </c>
      <c r="AA56" s="1" t="s">
        <v>53</v>
      </c>
      <c r="AB56" s="1" t="s">
        <v>530</v>
      </c>
      <c r="AC56" s="1" t="s">
        <v>530</v>
      </c>
      <c r="AD56" s="1" t="s">
        <v>524</v>
      </c>
      <c r="AE56" s="33" t="s">
        <v>753</v>
      </c>
      <c r="AF56" s="7"/>
      <c r="AG56" s="7"/>
      <c r="AH56" s="7"/>
      <c r="AI56" s="7"/>
      <c r="AJ56" s="7"/>
      <c r="AK56" s="7"/>
      <c r="AL56" s="7"/>
      <c r="AM56" s="7"/>
      <c r="AN56" s="7"/>
      <c r="AO56" s="7"/>
      <c r="AP56" s="7"/>
      <c r="AQ56" s="7"/>
      <c r="AR56" s="130"/>
      <c r="AS56" s="9"/>
      <c r="AT56" s="9"/>
      <c r="AU56" s="9"/>
      <c r="AV56" s="9"/>
      <c r="AW56" s="9"/>
      <c r="AX56" s="9"/>
      <c r="AY56" s="9"/>
      <c r="AZ56" s="9"/>
      <c r="BA56" s="9"/>
      <c r="BB56" s="9"/>
      <c r="BC56" s="9"/>
      <c r="BD56" s="9"/>
      <c r="BE56" s="130"/>
      <c r="BF56" s="9"/>
      <c r="BG56" s="9"/>
      <c r="BH56" s="9"/>
      <c r="BI56" s="9"/>
      <c r="BJ56" s="9"/>
      <c r="BK56" s="9"/>
      <c r="BL56" s="9"/>
      <c r="BM56" s="9"/>
      <c r="BN56" s="9"/>
      <c r="BO56" s="9"/>
      <c r="BP56" s="9"/>
      <c r="BQ56" s="9"/>
      <c r="BR56" s="127"/>
      <c r="BS56" s="19"/>
      <c r="BT56" s="19"/>
      <c r="BU56" s="19"/>
      <c r="BV56" s="19"/>
      <c r="BW56" s="19"/>
      <c r="BX56" s="19"/>
      <c r="BY56" s="19"/>
      <c r="BZ56" s="19"/>
      <c r="CA56" s="19"/>
      <c r="CB56" s="19"/>
      <c r="CC56" s="19"/>
      <c r="CD56" s="19"/>
      <c r="CE56" s="19"/>
      <c r="CF56" s="19"/>
      <c r="CG56" s="19"/>
      <c r="CH56" s="19"/>
      <c r="CI56" s="19"/>
      <c r="CJ56" s="19"/>
      <c r="CK56" s="19"/>
      <c r="CL56" s="19"/>
      <c r="CM56" s="19"/>
      <c r="CN56" s="19"/>
      <c r="CO56" s="19"/>
      <c r="CP56" s="19"/>
      <c r="CQ56" s="19"/>
      <c r="CR56" s="19"/>
      <c r="CS56" s="19"/>
      <c r="CT56" s="19"/>
      <c r="CU56" s="19"/>
      <c r="CV56" s="19"/>
      <c r="CW56" s="19"/>
      <c r="CX56" s="19"/>
      <c r="CY56" s="19"/>
      <c r="CZ56" s="19"/>
      <c r="DA56" s="19"/>
      <c r="DB56" s="19"/>
      <c r="DO56" s="1">
        <f t="shared" si="3"/>
        <v>0</v>
      </c>
      <c r="DP56" s="526"/>
    </row>
    <row r="57" spans="1:120" s="1" customFormat="1" ht="25.9" customHeight="1" x14ac:dyDescent="0.2">
      <c r="A57" s="6" t="s">
        <v>754</v>
      </c>
      <c r="B57" s="33" t="s">
        <v>57</v>
      </c>
      <c r="C57" s="33" t="s">
        <v>755</v>
      </c>
      <c r="D57" s="1" t="s">
        <v>756</v>
      </c>
      <c r="E57" s="1" t="s">
        <v>757</v>
      </c>
      <c r="F57" s="33" t="s">
        <v>49</v>
      </c>
      <c r="G57" s="33" t="s">
        <v>315</v>
      </c>
      <c r="H57" s="1" t="s">
        <v>61</v>
      </c>
      <c r="I57" s="115">
        <v>41425</v>
      </c>
      <c r="J57" s="115" t="s">
        <v>758</v>
      </c>
      <c r="K57" s="116">
        <v>2749869.69</v>
      </c>
      <c r="L57" s="116">
        <v>2133260.14</v>
      </c>
      <c r="M57" s="1">
        <f t="shared" si="4"/>
        <v>0</v>
      </c>
      <c r="P57" s="1">
        <f t="shared" si="5"/>
        <v>0</v>
      </c>
      <c r="S57" s="1">
        <f t="shared" si="6"/>
        <v>0</v>
      </c>
      <c r="U57" s="116">
        <v>616609.54999999981</v>
      </c>
      <c r="X57" s="1" t="s">
        <v>517</v>
      </c>
      <c r="Y57" s="1">
        <v>0</v>
      </c>
      <c r="Z57" s="1">
        <v>0</v>
      </c>
      <c r="AA57" s="1" t="s">
        <v>53</v>
      </c>
      <c r="AB57" s="1" t="s">
        <v>530</v>
      </c>
      <c r="AC57" s="1" t="s">
        <v>53</v>
      </c>
      <c r="AD57" s="1" t="s">
        <v>524</v>
      </c>
      <c r="AE57" s="33" t="s">
        <v>759</v>
      </c>
      <c r="AF57" s="7"/>
      <c r="AG57" s="7"/>
      <c r="AH57" s="7"/>
      <c r="AI57" s="7"/>
      <c r="AJ57" s="7"/>
      <c r="AK57" s="7"/>
      <c r="AL57" s="7"/>
      <c r="AM57" s="7"/>
      <c r="AN57" s="7"/>
      <c r="AO57" s="7"/>
      <c r="AP57" s="7"/>
      <c r="AQ57" s="7"/>
      <c r="AR57" s="130"/>
      <c r="AS57" s="9"/>
      <c r="AT57" s="9"/>
      <c r="AU57" s="9"/>
      <c r="AV57" s="9"/>
      <c r="AW57" s="9"/>
      <c r="AX57" s="9"/>
      <c r="AY57" s="9"/>
      <c r="AZ57" s="9"/>
      <c r="BA57" s="9"/>
      <c r="BB57" s="9"/>
      <c r="BC57" s="9"/>
      <c r="BD57" s="9"/>
      <c r="BE57" s="130"/>
      <c r="BF57" s="9"/>
      <c r="BG57" s="9"/>
      <c r="BH57" s="9"/>
      <c r="BI57" s="9"/>
      <c r="BJ57" s="9"/>
      <c r="BK57" s="9"/>
      <c r="BL57" s="9"/>
      <c r="BM57" s="9"/>
      <c r="BN57" s="9"/>
      <c r="BO57" s="9"/>
      <c r="BP57" s="9"/>
      <c r="BQ57" s="9"/>
      <c r="BR57" s="127"/>
      <c r="BS57" s="19"/>
      <c r="BT57" s="19"/>
      <c r="BU57" s="19"/>
      <c r="BV57" s="19"/>
      <c r="BW57" s="19"/>
      <c r="BX57" s="19"/>
      <c r="BY57" s="19"/>
      <c r="BZ57" s="19"/>
      <c r="CA57" s="19"/>
      <c r="CB57" s="19"/>
      <c r="CC57" s="19"/>
      <c r="CD57" s="19"/>
      <c r="CE57" s="19"/>
      <c r="CF57" s="19"/>
      <c r="CG57" s="19"/>
      <c r="CH57" s="19"/>
      <c r="CI57" s="19"/>
      <c r="CJ57" s="19"/>
      <c r="CK57" s="19"/>
      <c r="CL57" s="19"/>
      <c r="CM57" s="19"/>
      <c r="CN57" s="19"/>
      <c r="CO57" s="19"/>
      <c r="CP57" s="19"/>
      <c r="CQ57" s="19"/>
      <c r="CR57" s="19"/>
      <c r="CS57" s="19"/>
      <c r="CT57" s="19"/>
      <c r="CU57" s="19"/>
      <c r="CV57" s="19"/>
      <c r="CW57" s="19"/>
      <c r="CX57" s="19"/>
      <c r="CY57" s="19"/>
      <c r="CZ57" s="19"/>
      <c r="DA57" s="19"/>
      <c r="DB57" s="19"/>
      <c r="DO57" s="1">
        <f t="shared" si="3"/>
        <v>0</v>
      </c>
      <c r="DP57" s="526"/>
    </row>
    <row r="58" spans="1:120" s="1" customFormat="1" ht="25.9" customHeight="1" x14ac:dyDescent="0.2">
      <c r="A58" s="6" t="s">
        <v>760</v>
      </c>
      <c r="B58" s="33" t="s">
        <v>57</v>
      </c>
      <c r="C58" s="33" t="s">
        <v>761</v>
      </c>
      <c r="D58" s="1" t="s">
        <v>762</v>
      </c>
      <c r="E58" s="1" t="s">
        <v>179</v>
      </c>
      <c r="F58" s="33" t="s">
        <v>49</v>
      </c>
      <c r="G58" s="33" t="s">
        <v>315</v>
      </c>
      <c r="H58" s="1" t="s">
        <v>563</v>
      </c>
      <c r="I58" s="115">
        <v>42235</v>
      </c>
      <c r="J58" s="115">
        <v>42327</v>
      </c>
      <c r="K58" s="116">
        <v>305240.09000000003</v>
      </c>
      <c r="L58" s="116">
        <v>545466.46</v>
      </c>
      <c r="M58" s="1">
        <f t="shared" si="4"/>
        <v>0</v>
      </c>
      <c r="P58" s="1">
        <f t="shared" si="5"/>
        <v>0</v>
      </c>
      <c r="S58" s="1">
        <f t="shared" si="6"/>
        <v>0</v>
      </c>
      <c r="U58" s="116">
        <v>-240226.36999999994</v>
      </c>
      <c r="X58" s="1" t="s">
        <v>517</v>
      </c>
      <c r="Y58" s="1">
        <v>0</v>
      </c>
      <c r="Z58" s="1">
        <v>0</v>
      </c>
      <c r="AA58" s="1" t="s">
        <v>53</v>
      </c>
      <c r="AB58" s="1" t="s">
        <v>530</v>
      </c>
      <c r="AC58" s="1" t="s">
        <v>53</v>
      </c>
      <c r="AD58" s="1" t="s">
        <v>524</v>
      </c>
      <c r="AE58" s="33" t="s">
        <v>763</v>
      </c>
      <c r="AF58" s="7"/>
      <c r="AG58" s="7"/>
      <c r="AH58" s="7"/>
      <c r="AI58" s="7"/>
      <c r="AJ58" s="7"/>
      <c r="AK58" s="7"/>
      <c r="AL58" s="7"/>
      <c r="AM58" s="7"/>
      <c r="AN58" s="7"/>
      <c r="AO58" s="7"/>
      <c r="AP58" s="7"/>
      <c r="AQ58" s="7"/>
      <c r="AR58" s="130"/>
      <c r="AS58" s="9"/>
      <c r="AT58" s="9"/>
      <c r="AU58" s="9"/>
      <c r="AV58" s="9"/>
      <c r="AW58" s="9"/>
      <c r="AX58" s="9"/>
      <c r="AY58" s="9"/>
      <c r="AZ58" s="9"/>
      <c r="BA58" s="9"/>
      <c r="BB58" s="9"/>
      <c r="BC58" s="9"/>
      <c r="BD58" s="9"/>
      <c r="BE58" s="130"/>
      <c r="BF58" s="9"/>
      <c r="BG58" s="9"/>
      <c r="BH58" s="9"/>
      <c r="BI58" s="9"/>
      <c r="BJ58" s="9"/>
      <c r="BK58" s="9"/>
      <c r="BL58" s="9"/>
      <c r="BM58" s="9"/>
      <c r="BN58" s="9"/>
      <c r="BO58" s="9"/>
      <c r="BP58" s="9"/>
      <c r="BQ58" s="9"/>
      <c r="BR58" s="127"/>
      <c r="BS58" s="19"/>
      <c r="BT58" s="19"/>
      <c r="BU58" s="19"/>
      <c r="BV58" s="19"/>
      <c r="BW58" s="19"/>
      <c r="BX58" s="19"/>
      <c r="BY58" s="19"/>
      <c r="BZ58" s="19"/>
      <c r="CA58" s="19"/>
      <c r="CB58" s="19"/>
      <c r="CC58" s="19"/>
      <c r="CD58" s="19"/>
      <c r="CE58" s="19"/>
      <c r="CF58" s="19"/>
      <c r="CG58" s="19"/>
      <c r="CH58" s="19"/>
      <c r="CI58" s="19"/>
      <c r="CJ58" s="19"/>
      <c r="CK58" s="19"/>
      <c r="CL58" s="19"/>
      <c r="CM58" s="19"/>
      <c r="CN58" s="19"/>
      <c r="CO58" s="19"/>
      <c r="CP58" s="19"/>
      <c r="CQ58" s="19"/>
      <c r="CR58" s="19"/>
      <c r="CS58" s="19"/>
      <c r="CT58" s="19"/>
      <c r="CU58" s="19"/>
      <c r="CV58" s="19"/>
      <c r="CW58" s="19"/>
      <c r="CX58" s="19"/>
      <c r="CY58" s="19"/>
      <c r="CZ58" s="19"/>
      <c r="DA58" s="19"/>
      <c r="DB58" s="19"/>
      <c r="DO58" s="1">
        <f t="shared" si="3"/>
        <v>0</v>
      </c>
      <c r="DP58" s="526"/>
    </row>
    <row r="59" spans="1:120" s="1" customFormat="1" ht="25.9" customHeight="1" x14ac:dyDescent="0.2">
      <c r="A59" s="6" t="s">
        <v>764</v>
      </c>
      <c r="B59" s="33" t="s">
        <v>57</v>
      </c>
      <c r="C59" s="117" t="s">
        <v>765</v>
      </c>
      <c r="D59" s="1" t="s">
        <v>766</v>
      </c>
      <c r="E59" s="1" t="s">
        <v>767</v>
      </c>
      <c r="F59" s="33" t="s">
        <v>49</v>
      </c>
      <c r="G59" s="33" t="s">
        <v>315</v>
      </c>
      <c r="H59" s="1" t="s">
        <v>61</v>
      </c>
      <c r="I59" s="115">
        <v>42090</v>
      </c>
      <c r="J59" s="115">
        <v>42274</v>
      </c>
      <c r="K59" s="116">
        <v>3157090.21</v>
      </c>
      <c r="L59" s="116">
        <v>2963823.02</v>
      </c>
      <c r="M59" s="1">
        <f t="shared" si="4"/>
        <v>0</v>
      </c>
      <c r="P59" s="1">
        <f t="shared" si="5"/>
        <v>0</v>
      </c>
      <c r="S59" s="1">
        <f t="shared" si="6"/>
        <v>0</v>
      </c>
      <c r="U59" s="116">
        <v>193267.18999999994</v>
      </c>
      <c r="X59" s="1" t="s">
        <v>517</v>
      </c>
      <c r="Y59" s="1">
        <v>0</v>
      </c>
      <c r="Z59" s="1">
        <v>0</v>
      </c>
      <c r="AA59" s="1" t="s">
        <v>53</v>
      </c>
      <c r="AB59" s="1" t="s">
        <v>530</v>
      </c>
      <c r="AC59" s="1" t="s">
        <v>53</v>
      </c>
      <c r="AD59" s="1" t="s">
        <v>524</v>
      </c>
      <c r="AE59" s="33" t="s">
        <v>768</v>
      </c>
      <c r="AF59" s="7"/>
      <c r="AG59" s="7"/>
      <c r="AH59" s="7"/>
      <c r="AI59" s="7"/>
      <c r="AJ59" s="7"/>
      <c r="AK59" s="7"/>
      <c r="AL59" s="7"/>
      <c r="AM59" s="7"/>
      <c r="AN59" s="7"/>
      <c r="AO59" s="7"/>
      <c r="AP59" s="7"/>
      <c r="AQ59" s="7"/>
      <c r="AR59" s="130"/>
      <c r="AS59" s="9"/>
      <c r="AT59" s="9"/>
      <c r="AU59" s="9"/>
      <c r="AV59" s="9"/>
      <c r="AW59" s="9"/>
      <c r="AX59" s="9"/>
      <c r="AY59" s="9"/>
      <c r="AZ59" s="9"/>
      <c r="BA59" s="9"/>
      <c r="BB59" s="9"/>
      <c r="BC59" s="9"/>
      <c r="BD59" s="9"/>
      <c r="BE59" s="130"/>
      <c r="BF59" s="9"/>
      <c r="BG59" s="9"/>
      <c r="BH59" s="9"/>
      <c r="BI59" s="9"/>
      <c r="BJ59" s="9"/>
      <c r="BK59" s="9"/>
      <c r="BL59" s="9"/>
      <c r="BM59" s="9"/>
      <c r="BN59" s="9"/>
      <c r="BO59" s="9"/>
      <c r="BP59" s="9"/>
      <c r="BQ59" s="9"/>
      <c r="BR59" s="111"/>
      <c r="BS59" s="19"/>
      <c r="BT59" s="19"/>
      <c r="BU59" s="19"/>
      <c r="BV59" s="19"/>
      <c r="BW59" s="19"/>
      <c r="BX59" s="19"/>
      <c r="BY59" s="19"/>
      <c r="BZ59" s="19"/>
      <c r="CA59" s="19"/>
      <c r="CB59" s="19"/>
      <c r="CC59" s="19"/>
      <c r="CD59" s="19"/>
      <c r="CE59" s="19"/>
      <c r="CF59" s="19"/>
      <c r="CG59" s="19"/>
      <c r="CH59" s="19"/>
      <c r="CI59" s="19"/>
      <c r="CJ59" s="19"/>
      <c r="CK59" s="19"/>
      <c r="CL59" s="19"/>
      <c r="CM59" s="19"/>
      <c r="CN59" s="19"/>
      <c r="CO59" s="19"/>
      <c r="CP59" s="19"/>
      <c r="CQ59" s="19"/>
      <c r="CR59" s="19"/>
      <c r="CS59" s="19"/>
      <c r="CT59" s="19"/>
      <c r="CU59" s="19"/>
      <c r="CV59" s="19"/>
      <c r="CW59" s="19"/>
      <c r="CX59" s="19"/>
      <c r="CY59" s="19"/>
      <c r="CZ59" s="19"/>
      <c r="DA59" s="19"/>
      <c r="DB59" s="19"/>
      <c r="DO59" s="1">
        <f t="shared" si="3"/>
        <v>0</v>
      </c>
      <c r="DP59" s="526"/>
    </row>
    <row r="60" spans="1:120" s="1" customFormat="1" ht="25.9" customHeight="1" x14ac:dyDescent="0.2">
      <c r="A60" s="6" t="s">
        <v>769</v>
      </c>
      <c r="B60" s="33" t="s">
        <v>57</v>
      </c>
      <c r="C60" s="33" t="s">
        <v>770</v>
      </c>
      <c r="D60" s="1" t="s">
        <v>771</v>
      </c>
      <c r="E60" s="1" t="s">
        <v>146</v>
      </c>
      <c r="F60" s="33" t="s">
        <v>49</v>
      </c>
      <c r="G60" s="33" t="s">
        <v>315</v>
      </c>
      <c r="H60" s="1" t="s">
        <v>61</v>
      </c>
      <c r="I60" s="115">
        <v>42307</v>
      </c>
      <c r="J60" s="115">
        <v>42582</v>
      </c>
      <c r="K60" s="116">
        <v>1980869.15</v>
      </c>
      <c r="L60" s="116">
        <v>1805524.9000000001</v>
      </c>
      <c r="M60" s="1">
        <f t="shared" si="4"/>
        <v>0</v>
      </c>
      <c r="P60" s="1">
        <f t="shared" si="5"/>
        <v>0</v>
      </c>
      <c r="S60" s="1">
        <f t="shared" si="6"/>
        <v>0</v>
      </c>
      <c r="U60" s="116">
        <v>175344.24999999977</v>
      </c>
      <c r="X60" s="1" t="s">
        <v>517</v>
      </c>
      <c r="Y60" s="1">
        <v>0</v>
      </c>
      <c r="Z60" s="1">
        <v>0</v>
      </c>
      <c r="AA60" s="1" t="s">
        <v>53</v>
      </c>
      <c r="AB60" s="1" t="s">
        <v>530</v>
      </c>
      <c r="AC60" s="1" t="s">
        <v>53</v>
      </c>
      <c r="AD60" s="1" t="s">
        <v>524</v>
      </c>
      <c r="AE60" s="33" t="s">
        <v>772</v>
      </c>
      <c r="AF60" s="7"/>
      <c r="AG60" s="7"/>
      <c r="AH60" s="7"/>
      <c r="AI60" s="7"/>
      <c r="AJ60" s="7"/>
      <c r="AK60" s="7"/>
      <c r="AL60" s="7"/>
      <c r="AM60" s="7"/>
      <c r="AN60" s="7"/>
      <c r="AO60" s="7"/>
      <c r="AP60" s="7"/>
      <c r="AQ60" s="7"/>
      <c r="AR60" s="130"/>
      <c r="AS60" s="9"/>
      <c r="AT60" s="9"/>
      <c r="AU60" s="9"/>
      <c r="AV60" s="9"/>
      <c r="AW60" s="9"/>
      <c r="AX60" s="9"/>
      <c r="AY60" s="9"/>
      <c r="AZ60" s="9"/>
      <c r="BA60" s="9"/>
      <c r="BB60" s="9"/>
      <c r="BC60" s="9"/>
      <c r="BD60" s="9"/>
      <c r="BE60" s="130"/>
      <c r="BF60" s="9"/>
      <c r="BG60" s="9"/>
      <c r="BH60" s="9"/>
      <c r="BI60" s="9"/>
      <c r="BJ60" s="9"/>
      <c r="BK60" s="9"/>
      <c r="BL60" s="9"/>
      <c r="BM60" s="9"/>
      <c r="BN60" s="9"/>
      <c r="BO60" s="9"/>
      <c r="BP60" s="9"/>
      <c r="BQ60" s="9"/>
      <c r="BR60" s="127"/>
      <c r="BS60" s="19"/>
      <c r="BT60" s="19"/>
      <c r="BU60" s="19"/>
      <c r="BV60" s="19"/>
      <c r="BW60" s="19"/>
      <c r="BX60" s="19"/>
      <c r="BY60" s="19"/>
      <c r="BZ60" s="19"/>
      <c r="CA60" s="19"/>
      <c r="CB60" s="19"/>
      <c r="CC60" s="19"/>
      <c r="CD60" s="19"/>
      <c r="CE60" s="19"/>
      <c r="CF60" s="19"/>
      <c r="CG60" s="19"/>
      <c r="CH60" s="19"/>
      <c r="CI60" s="19"/>
      <c r="CJ60" s="19"/>
      <c r="CK60" s="19"/>
      <c r="CL60" s="19"/>
      <c r="CM60" s="19"/>
      <c r="CN60" s="19"/>
      <c r="CO60" s="19"/>
      <c r="CP60" s="19"/>
      <c r="CQ60" s="19"/>
      <c r="CR60" s="19"/>
      <c r="CS60" s="19"/>
      <c r="CT60" s="19"/>
      <c r="CU60" s="19"/>
      <c r="CV60" s="19"/>
      <c r="CW60" s="19"/>
      <c r="CX60" s="19"/>
      <c r="CY60" s="19"/>
      <c r="CZ60" s="19"/>
      <c r="DA60" s="19"/>
      <c r="DB60" s="19"/>
      <c r="DO60" s="1">
        <f t="shared" si="3"/>
        <v>0</v>
      </c>
      <c r="DP60" s="526"/>
    </row>
    <row r="61" spans="1:120" s="1" customFormat="1" ht="25.9" customHeight="1" x14ac:dyDescent="0.2">
      <c r="A61" s="6" t="s">
        <v>773</v>
      </c>
      <c r="B61" s="33" t="s">
        <v>107</v>
      </c>
      <c r="C61" s="33" t="s">
        <v>774</v>
      </c>
      <c r="D61" s="1" t="s">
        <v>775</v>
      </c>
      <c r="E61" s="1" t="s">
        <v>776</v>
      </c>
      <c r="F61" s="33" t="s">
        <v>49</v>
      </c>
      <c r="G61" s="33" t="s">
        <v>522</v>
      </c>
      <c r="H61" s="1" t="s">
        <v>777</v>
      </c>
      <c r="I61" s="115">
        <v>41091</v>
      </c>
      <c r="J61" s="115">
        <v>41455</v>
      </c>
      <c r="K61" s="116">
        <v>1440000</v>
      </c>
      <c r="L61" s="116">
        <v>1300000</v>
      </c>
      <c r="M61" s="1">
        <f t="shared" si="4"/>
        <v>0</v>
      </c>
      <c r="P61" s="1">
        <f t="shared" si="5"/>
        <v>0</v>
      </c>
      <c r="S61" s="1">
        <f t="shared" si="6"/>
        <v>0</v>
      </c>
      <c r="U61" s="116">
        <v>140000</v>
      </c>
      <c r="X61" s="1" t="s">
        <v>517</v>
      </c>
      <c r="Y61" s="1">
        <v>0</v>
      </c>
      <c r="Z61" s="1">
        <v>0</v>
      </c>
      <c r="AA61" s="1" t="s">
        <v>53</v>
      </c>
      <c r="AB61" s="1" t="s">
        <v>530</v>
      </c>
      <c r="AC61" s="1" t="s">
        <v>53</v>
      </c>
      <c r="AD61" s="1" t="s">
        <v>524</v>
      </c>
      <c r="AE61" s="33" t="s">
        <v>778</v>
      </c>
      <c r="AF61" s="7"/>
      <c r="AG61" s="7"/>
      <c r="AH61" s="7"/>
      <c r="AI61" s="7"/>
      <c r="AJ61" s="7"/>
      <c r="AK61" s="7"/>
      <c r="AL61" s="7"/>
      <c r="AM61" s="7"/>
      <c r="AN61" s="7"/>
      <c r="AO61" s="7"/>
      <c r="AP61" s="7"/>
      <c r="AQ61" s="7"/>
      <c r="AR61" s="130"/>
      <c r="AS61" s="9"/>
      <c r="AT61" s="9"/>
      <c r="AU61" s="9"/>
      <c r="AV61" s="9"/>
      <c r="AW61" s="9"/>
      <c r="AX61" s="9"/>
      <c r="AY61" s="9"/>
      <c r="AZ61" s="9"/>
      <c r="BA61" s="9"/>
      <c r="BB61" s="9"/>
      <c r="BC61" s="9"/>
      <c r="BD61" s="9"/>
      <c r="BE61" s="130"/>
      <c r="BF61" s="9"/>
      <c r="BG61" s="9"/>
      <c r="BH61" s="9"/>
      <c r="BI61" s="9"/>
      <c r="BJ61" s="9"/>
      <c r="BK61" s="9"/>
      <c r="BL61" s="9"/>
      <c r="BM61" s="9"/>
      <c r="BN61" s="9"/>
      <c r="BO61" s="9"/>
      <c r="BP61" s="9"/>
      <c r="BQ61" s="9"/>
      <c r="BR61" s="127"/>
      <c r="BS61" s="19"/>
      <c r="BT61" s="19"/>
      <c r="BU61" s="19"/>
      <c r="BV61" s="19"/>
      <c r="BW61" s="19"/>
      <c r="BX61" s="19"/>
      <c r="BY61" s="19"/>
      <c r="BZ61" s="19"/>
      <c r="CA61" s="19"/>
      <c r="CB61" s="19"/>
      <c r="CC61" s="19"/>
      <c r="CD61" s="19"/>
      <c r="CE61" s="19"/>
      <c r="CF61" s="19"/>
      <c r="CG61" s="19"/>
      <c r="CH61" s="19"/>
      <c r="CI61" s="19"/>
      <c r="CJ61" s="19"/>
      <c r="CK61" s="19"/>
      <c r="CL61" s="19"/>
      <c r="CM61" s="19"/>
      <c r="CN61" s="19"/>
      <c r="CO61" s="19"/>
      <c r="CP61" s="19"/>
      <c r="CQ61" s="19"/>
      <c r="CR61" s="19"/>
      <c r="CS61" s="19"/>
      <c r="CT61" s="19"/>
      <c r="CU61" s="19"/>
      <c r="CV61" s="19"/>
      <c r="CW61" s="19"/>
      <c r="CX61" s="19"/>
      <c r="CY61" s="19"/>
      <c r="CZ61" s="19"/>
      <c r="DA61" s="19"/>
      <c r="DB61" s="19"/>
      <c r="DO61" s="1">
        <f t="shared" si="3"/>
        <v>0</v>
      </c>
      <c r="DP61" s="526"/>
    </row>
    <row r="62" spans="1:120" s="1" customFormat="1" ht="25.9" customHeight="1" x14ac:dyDescent="0.2">
      <c r="A62" s="6" t="s">
        <v>779</v>
      </c>
      <c r="B62" s="33" t="s">
        <v>107</v>
      </c>
      <c r="C62" s="33" t="s">
        <v>780</v>
      </c>
      <c r="D62" s="1" t="s">
        <v>781</v>
      </c>
      <c r="E62" s="1" t="s">
        <v>782</v>
      </c>
      <c r="F62" s="33" t="s">
        <v>49</v>
      </c>
      <c r="G62" s="33" t="s">
        <v>354</v>
      </c>
      <c r="H62" s="1" t="s">
        <v>777</v>
      </c>
      <c r="I62" s="115">
        <v>41380</v>
      </c>
      <c r="J62" s="115">
        <v>42476</v>
      </c>
      <c r="K62" s="116">
        <v>670764</v>
      </c>
      <c r="L62" s="116">
        <v>600018</v>
      </c>
      <c r="M62" s="1">
        <f t="shared" si="4"/>
        <v>0</v>
      </c>
      <c r="P62" s="1">
        <f t="shared" si="5"/>
        <v>0</v>
      </c>
      <c r="S62" s="1">
        <f t="shared" si="6"/>
        <v>0</v>
      </c>
      <c r="U62" s="116">
        <v>70746</v>
      </c>
      <c r="X62" s="1" t="s">
        <v>517</v>
      </c>
      <c r="Y62" s="1">
        <v>0</v>
      </c>
      <c r="Z62" s="1">
        <v>0</v>
      </c>
      <c r="AA62" s="1" t="s">
        <v>53</v>
      </c>
      <c r="AB62" s="1" t="s">
        <v>530</v>
      </c>
      <c r="AC62" s="1" t="s">
        <v>53</v>
      </c>
      <c r="AD62" s="1" t="s">
        <v>524</v>
      </c>
      <c r="AE62" s="33" t="s">
        <v>783</v>
      </c>
      <c r="AF62" s="7"/>
      <c r="AG62" s="7"/>
      <c r="AH62" s="7"/>
      <c r="AI62" s="7"/>
      <c r="AJ62" s="7"/>
      <c r="AK62" s="7"/>
      <c r="AL62" s="7"/>
      <c r="AM62" s="7"/>
      <c r="AN62" s="7"/>
      <c r="AO62" s="7"/>
      <c r="AP62" s="7"/>
      <c r="AQ62" s="7"/>
      <c r="AR62" s="130"/>
      <c r="AS62" s="9"/>
      <c r="AT62" s="9"/>
      <c r="AU62" s="9"/>
      <c r="AV62" s="9"/>
      <c r="AW62" s="9"/>
      <c r="AX62" s="9"/>
      <c r="AY62" s="9"/>
      <c r="AZ62" s="9"/>
      <c r="BA62" s="9"/>
      <c r="BB62" s="9"/>
      <c r="BC62" s="9"/>
      <c r="BD62" s="9"/>
      <c r="BE62" s="130"/>
      <c r="BF62" s="9"/>
      <c r="BG62" s="9"/>
      <c r="BH62" s="9"/>
      <c r="BI62" s="9"/>
      <c r="BJ62" s="9"/>
      <c r="BK62" s="9"/>
      <c r="BL62" s="9"/>
      <c r="BM62" s="9"/>
      <c r="BN62" s="9"/>
      <c r="BO62" s="9"/>
      <c r="BP62" s="9"/>
      <c r="BQ62" s="9"/>
      <c r="BR62" s="127"/>
      <c r="BS62" s="19"/>
      <c r="BT62" s="19"/>
      <c r="BU62" s="19"/>
      <c r="BV62" s="19"/>
      <c r="BW62" s="19"/>
      <c r="BX62" s="19"/>
      <c r="BY62" s="19"/>
      <c r="BZ62" s="19"/>
      <c r="CA62" s="19"/>
      <c r="CB62" s="19"/>
      <c r="CC62" s="19"/>
      <c r="CD62" s="19"/>
      <c r="CE62" s="19"/>
      <c r="CF62" s="19"/>
      <c r="CG62" s="19"/>
      <c r="CH62" s="19"/>
      <c r="CI62" s="19"/>
      <c r="CJ62" s="19"/>
      <c r="CK62" s="19"/>
      <c r="CL62" s="19"/>
      <c r="CM62" s="19"/>
      <c r="CN62" s="19"/>
      <c r="CO62" s="19"/>
      <c r="CP62" s="19"/>
      <c r="CQ62" s="19"/>
      <c r="CR62" s="19"/>
      <c r="CS62" s="19"/>
      <c r="CT62" s="19"/>
      <c r="CU62" s="19"/>
      <c r="CV62" s="19"/>
      <c r="CW62" s="19"/>
      <c r="CX62" s="19"/>
      <c r="CY62" s="19"/>
      <c r="CZ62" s="19"/>
      <c r="DA62" s="19"/>
      <c r="DB62" s="19"/>
      <c r="DO62" s="1">
        <f t="shared" si="3"/>
        <v>0</v>
      </c>
      <c r="DP62" s="526"/>
    </row>
    <row r="63" spans="1:120" s="1" customFormat="1" ht="25.9" customHeight="1" x14ac:dyDescent="0.2">
      <c r="A63" s="6" t="s">
        <v>784</v>
      </c>
      <c r="B63" s="33" t="s">
        <v>107</v>
      </c>
      <c r="C63" s="1" t="s">
        <v>785</v>
      </c>
      <c r="D63" s="1" t="s">
        <v>786</v>
      </c>
      <c r="E63" s="1" t="s">
        <v>787</v>
      </c>
      <c r="F63" s="33" t="s">
        <v>49</v>
      </c>
      <c r="G63" s="33" t="s">
        <v>315</v>
      </c>
      <c r="H63" s="1" t="s">
        <v>61</v>
      </c>
      <c r="I63" s="115">
        <v>41632</v>
      </c>
      <c r="J63" s="115">
        <v>41814</v>
      </c>
      <c r="K63" s="116">
        <v>1164125.1000000001</v>
      </c>
      <c r="L63" s="116">
        <v>1784028</v>
      </c>
      <c r="M63" s="1">
        <f t="shared" si="4"/>
        <v>0</v>
      </c>
      <c r="P63" s="1">
        <f t="shared" si="5"/>
        <v>0</v>
      </c>
      <c r="S63" s="1">
        <f t="shared" si="6"/>
        <v>0</v>
      </c>
      <c r="U63" s="116">
        <v>-619902.89999999991</v>
      </c>
      <c r="X63" s="1" t="s">
        <v>517</v>
      </c>
      <c r="Y63" s="1">
        <v>0</v>
      </c>
      <c r="Z63" s="1">
        <v>0</v>
      </c>
      <c r="AA63" s="1" t="s">
        <v>53</v>
      </c>
      <c r="AB63" s="1" t="s">
        <v>530</v>
      </c>
      <c r="AC63" s="1" t="s">
        <v>530</v>
      </c>
      <c r="AD63" s="1" t="s">
        <v>524</v>
      </c>
      <c r="AE63" s="1" t="s">
        <v>788</v>
      </c>
      <c r="AF63" s="7"/>
      <c r="AG63" s="7"/>
      <c r="AH63" s="7"/>
      <c r="AI63" s="7"/>
      <c r="AJ63" s="7"/>
      <c r="AK63" s="7"/>
      <c r="AL63" s="7"/>
      <c r="AM63" s="7"/>
      <c r="AN63" s="7"/>
      <c r="AO63" s="7"/>
      <c r="AP63" s="7"/>
      <c r="AQ63" s="7"/>
      <c r="AR63" s="130"/>
      <c r="AS63" s="9"/>
      <c r="AT63" s="9"/>
      <c r="AU63" s="9"/>
      <c r="AV63" s="9"/>
      <c r="AW63" s="9"/>
      <c r="AX63" s="9"/>
      <c r="AY63" s="9"/>
      <c r="AZ63" s="9"/>
      <c r="BA63" s="9"/>
      <c r="BB63" s="9"/>
      <c r="BC63" s="9"/>
      <c r="BD63" s="9"/>
      <c r="BE63" s="130"/>
      <c r="BF63" s="9"/>
      <c r="BG63" s="9"/>
      <c r="BH63" s="9"/>
      <c r="BI63" s="9"/>
      <c r="BJ63" s="9"/>
      <c r="BK63" s="9"/>
      <c r="BL63" s="9"/>
      <c r="BM63" s="9"/>
      <c r="BN63" s="9"/>
      <c r="BO63" s="9"/>
      <c r="BP63" s="9"/>
      <c r="BQ63" s="9"/>
      <c r="BR63" s="127"/>
      <c r="BS63" s="19"/>
      <c r="BT63" s="19"/>
      <c r="BU63" s="19"/>
      <c r="BV63" s="19"/>
      <c r="BW63" s="19"/>
      <c r="BX63" s="19"/>
      <c r="BY63" s="19"/>
      <c r="BZ63" s="19"/>
      <c r="CA63" s="19"/>
      <c r="CB63" s="19"/>
      <c r="CC63" s="19"/>
      <c r="CD63" s="19"/>
      <c r="CE63" s="19"/>
      <c r="CF63" s="19"/>
      <c r="CG63" s="19"/>
      <c r="CH63" s="19"/>
      <c r="CI63" s="19"/>
      <c r="CJ63" s="19"/>
      <c r="CK63" s="19"/>
      <c r="CL63" s="19"/>
      <c r="CM63" s="19"/>
      <c r="CN63" s="19"/>
      <c r="CO63" s="19"/>
      <c r="CP63" s="19"/>
      <c r="CQ63" s="19"/>
      <c r="CR63" s="19"/>
      <c r="CS63" s="19"/>
      <c r="CT63" s="19"/>
      <c r="CU63" s="19"/>
      <c r="CV63" s="19"/>
      <c r="CW63" s="19"/>
      <c r="CX63" s="19"/>
      <c r="CY63" s="19"/>
      <c r="CZ63" s="19"/>
      <c r="DA63" s="19"/>
      <c r="DB63" s="19"/>
      <c r="DO63" s="1">
        <f t="shared" si="3"/>
        <v>0</v>
      </c>
      <c r="DP63" s="526"/>
    </row>
    <row r="64" spans="1:120" s="1" customFormat="1" ht="25.9" customHeight="1" x14ac:dyDescent="0.2">
      <c r="A64" s="6" t="s">
        <v>789</v>
      </c>
      <c r="B64" s="33" t="s">
        <v>107</v>
      </c>
      <c r="C64" s="1" t="s">
        <v>790</v>
      </c>
      <c r="D64" s="1" t="s">
        <v>791</v>
      </c>
      <c r="E64" s="1" t="s">
        <v>792</v>
      </c>
      <c r="F64" s="33" t="s">
        <v>49</v>
      </c>
      <c r="G64" s="33" t="s">
        <v>328</v>
      </c>
      <c r="H64" s="1" t="s">
        <v>793</v>
      </c>
      <c r="I64" s="115">
        <v>42390</v>
      </c>
      <c r="J64" s="115">
        <v>42572</v>
      </c>
      <c r="K64" s="116"/>
      <c r="L64" s="116">
        <v>3437867.28</v>
      </c>
      <c r="M64" s="1">
        <f t="shared" si="4"/>
        <v>0</v>
      </c>
      <c r="P64" s="1">
        <f t="shared" si="5"/>
        <v>0</v>
      </c>
      <c r="S64" s="1">
        <f t="shared" si="6"/>
        <v>0</v>
      </c>
      <c r="U64" s="116"/>
      <c r="X64" s="1" t="s">
        <v>624</v>
      </c>
      <c r="Z64" s="1">
        <v>0</v>
      </c>
      <c r="AA64" s="1" t="s">
        <v>53</v>
      </c>
      <c r="AB64" s="1" t="s">
        <v>530</v>
      </c>
      <c r="AC64" s="1" t="s">
        <v>530</v>
      </c>
      <c r="AD64" s="1" t="s">
        <v>524</v>
      </c>
      <c r="AE64" s="1" t="s">
        <v>794</v>
      </c>
      <c r="AF64" s="7"/>
      <c r="AG64" s="7"/>
      <c r="AH64" s="7"/>
      <c r="AI64" s="7"/>
      <c r="AJ64" s="7"/>
      <c r="AK64" s="7"/>
      <c r="AL64" s="7"/>
      <c r="AM64" s="7"/>
      <c r="AN64" s="7"/>
      <c r="AO64" s="7"/>
      <c r="AP64" s="7"/>
      <c r="AQ64" s="7"/>
      <c r="AR64" s="130"/>
      <c r="AS64" s="9"/>
      <c r="AT64" s="9"/>
      <c r="AU64" s="9"/>
      <c r="AV64" s="9"/>
      <c r="AW64" s="9"/>
      <c r="AX64" s="9"/>
      <c r="AY64" s="9"/>
      <c r="AZ64" s="9"/>
      <c r="BA64" s="9"/>
      <c r="BB64" s="9"/>
      <c r="BC64" s="9"/>
      <c r="BD64" s="9"/>
      <c r="BE64" s="130"/>
      <c r="BF64" s="9"/>
      <c r="BG64" s="9"/>
      <c r="BH64" s="9"/>
      <c r="BI64" s="9"/>
      <c r="BJ64" s="9"/>
      <c r="BK64" s="9"/>
      <c r="BL64" s="9"/>
      <c r="BM64" s="9"/>
      <c r="BN64" s="9"/>
      <c r="BO64" s="9"/>
      <c r="BP64" s="9"/>
      <c r="BQ64" s="9"/>
      <c r="BR64" s="127"/>
      <c r="BS64" s="19"/>
      <c r="BT64" s="19"/>
      <c r="BU64" s="19"/>
      <c r="BV64" s="19"/>
      <c r="BW64" s="19"/>
      <c r="BX64" s="19"/>
      <c r="BY64" s="19"/>
      <c r="BZ64" s="19"/>
      <c r="CA64" s="19"/>
      <c r="CB64" s="19"/>
      <c r="CC64" s="19"/>
      <c r="CD64" s="19"/>
      <c r="CE64" s="19"/>
      <c r="CF64" s="19"/>
      <c r="CG64" s="19"/>
      <c r="CH64" s="19"/>
      <c r="CI64" s="19"/>
      <c r="CJ64" s="19"/>
      <c r="CK64" s="19"/>
      <c r="CL64" s="19"/>
      <c r="CM64" s="19"/>
      <c r="CN64" s="19"/>
      <c r="CO64" s="19"/>
      <c r="CP64" s="19"/>
      <c r="CQ64" s="19"/>
      <c r="CR64" s="19"/>
      <c r="CS64" s="19"/>
      <c r="CT64" s="19"/>
      <c r="CU64" s="19"/>
      <c r="CV64" s="19"/>
      <c r="CW64" s="19"/>
      <c r="CX64" s="19"/>
      <c r="CY64" s="19"/>
      <c r="CZ64" s="19"/>
      <c r="DA64" s="19"/>
      <c r="DB64" s="19"/>
      <c r="DO64" s="1">
        <f t="shared" si="3"/>
        <v>0</v>
      </c>
      <c r="DP64" s="526"/>
    </row>
    <row r="65" spans="1:120" s="1" customFormat="1" ht="25.9" customHeight="1" x14ac:dyDescent="0.2">
      <c r="A65" s="6" t="s">
        <v>795</v>
      </c>
      <c r="B65" s="33" t="s">
        <v>107</v>
      </c>
      <c r="C65" s="1" t="s">
        <v>796</v>
      </c>
      <c r="D65" s="65" t="s">
        <v>407</v>
      </c>
      <c r="E65" s="1" t="s">
        <v>408</v>
      </c>
      <c r="F65" s="33" t="s">
        <v>49</v>
      </c>
      <c r="G65" s="33" t="s">
        <v>456</v>
      </c>
      <c r="H65" s="1" t="s">
        <v>797</v>
      </c>
      <c r="I65" s="115">
        <v>41876</v>
      </c>
      <c r="J65" s="115">
        <v>42972</v>
      </c>
      <c r="K65" s="116">
        <v>2073983</v>
      </c>
      <c r="L65" s="116">
        <v>1098509</v>
      </c>
      <c r="M65" s="1">
        <f t="shared" si="4"/>
        <v>261050</v>
      </c>
      <c r="P65" s="1">
        <f t="shared" si="5"/>
        <v>0</v>
      </c>
      <c r="S65" s="1">
        <f t="shared" si="6"/>
        <v>0</v>
      </c>
      <c r="U65" s="116">
        <v>975474</v>
      </c>
      <c r="X65" s="1" t="s">
        <v>517</v>
      </c>
      <c r="Y65" s="1">
        <v>0</v>
      </c>
      <c r="Z65" s="1">
        <v>0</v>
      </c>
      <c r="AA65" s="1" t="s">
        <v>53</v>
      </c>
      <c r="AB65" s="1" t="s">
        <v>530</v>
      </c>
      <c r="AC65" s="1" t="s">
        <v>53</v>
      </c>
      <c r="AD65" s="1" t="s">
        <v>524</v>
      </c>
      <c r="AE65" s="1" t="s">
        <v>798</v>
      </c>
      <c r="AF65" s="7">
        <v>20125</v>
      </c>
      <c r="AG65" s="7">
        <v>20125</v>
      </c>
      <c r="AH65" s="7">
        <v>22080</v>
      </c>
      <c r="AI65" s="7">
        <v>22080</v>
      </c>
      <c r="AJ65" s="7">
        <v>22080</v>
      </c>
      <c r="AK65" s="7"/>
      <c r="AL65" s="7">
        <v>22080</v>
      </c>
      <c r="AM65" s="7">
        <v>22080</v>
      </c>
      <c r="AN65" s="7">
        <v>22080</v>
      </c>
      <c r="AO65" s="7">
        <v>22080</v>
      </c>
      <c r="AP65" s="7">
        <f>22080+22080</f>
        <v>44160</v>
      </c>
      <c r="AQ65" s="7">
        <v>22080</v>
      </c>
      <c r="AR65" s="130">
        <f>SUBTOTAL(9,AF65:AQ65)</f>
        <v>261050</v>
      </c>
      <c r="AS65" s="9"/>
      <c r="AT65" s="9"/>
      <c r="AU65" s="9"/>
      <c r="AV65" s="9"/>
      <c r="AW65" s="9"/>
      <c r="AX65" s="9"/>
      <c r="AY65" s="9"/>
      <c r="AZ65" s="9"/>
      <c r="BA65" s="9"/>
      <c r="BB65" s="9"/>
      <c r="BC65" s="9"/>
      <c r="BD65" s="9"/>
      <c r="BE65" s="130"/>
      <c r="BF65" s="9"/>
      <c r="BG65" s="9"/>
      <c r="BH65" s="9"/>
      <c r="BI65" s="9"/>
      <c r="BJ65" s="9"/>
      <c r="BK65" s="9"/>
      <c r="BL65" s="9"/>
      <c r="BM65" s="9"/>
      <c r="BN65" s="9"/>
      <c r="BO65" s="9"/>
      <c r="BP65" s="9"/>
      <c r="BQ65" s="9"/>
      <c r="BR65" s="127"/>
      <c r="BS65" s="19"/>
      <c r="BT65" s="19"/>
      <c r="BU65" s="19"/>
      <c r="BV65" s="19"/>
      <c r="BW65" s="19"/>
      <c r="BX65" s="19"/>
      <c r="BY65" s="19"/>
      <c r="BZ65" s="19"/>
      <c r="CA65" s="19"/>
      <c r="CB65" s="19"/>
      <c r="CC65" s="19"/>
      <c r="CD65" s="19"/>
      <c r="CE65" s="19"/>
      <c r="CF65" s="19"/>
      <c r="CG65" s="19"/>
      <c r="CH65" s="19"/>
      <c r="CI65" s="19"/>
      <c r="CJ65" s="19"/>
      <c r="CK65" s="19"/>
      <c r="CL65" s="19"/>
      <c r="CM65" s="19"/>
      <c r="CN65" s="19"/>
      <c r="CO65" s="19"/>
      <c r="CP65" s="19"/>
      <c r="CQ65" s="19"/>
      <c r="CR65" s="19"/>
      <c r="CS65" s="19"/>
      <c r="CT65" s="19"/>
      <c r="CU65" s="19"/>
      <c r="CV65" s="19"/>
      <c r="CW65" s="19"/>
      <c r="CX65" s="19"/>
      <c r="CY65" s="19"/>
      <c r="CZ65" s="19"/>
      <c r="DA65" s="19"/>
      <c r="DB65" s="19"/>
      <c r="DO65" s="1">
        <f t="shared" si="3"/>
        <v>0</v>
      </c>
      <c r="DP65" s="526"/>
    </row>
    <row r="66" spans="1:120" s="1" customFormat="1" ht="25.9" customHeight="1" x14ac:dyDescent="0.2">
      <c r="A66" s="6" t="s">
        <v>799</v>
      </c>
      <c r="B66" s="33" t="s">
        <v>800</v>
      </c>
      <c r="C66" s="1" t="s">
        <v>801</v>
      </c>
      <c r="D66" s="1" t="s">
        <v>802</v>
      </c>
      <c r="E66" s="1" t="s">
        <v>483</v>
      </c>
      <c r="F66" s="33" t="s">
        <v>49</v>
      </c>
      <c r="G66" s="33" t="s">
        <v>803</v>
      </c>
      <c r="H66" s="1" t="s">
        <v>804</v>
      </c>
      <c r="I66" s="115">
        <v>42186</v>
      </c>
      <c r="J66" s="115">
        <v>42551</v>
      </c>
      <c r="K66" s="116">
        <v>800000</v>
      </c>
      <c r="L66" s="116">
        <v>281334</v>
      </c>
      <c r="M66" s="1">
        <f t="shared" si="4"/>
        <v>0</v>
      </c>
      <c r="P66" s="1">
        <f t="shared" si="5"/>
        <v>0</v>
      </c>
      <c r="S66" s="1">
        <f t="shared" si="6"/>
        <v>0</v>
      </c>
      <c r="U66" s="116">
        <v>518666</v>
      </c>
      <c r="X66" s="1" t="s">
        <v>517</v>
      </c>
      <c r="Y66" s="1">
        <v>0</v>
      </c>
      <c r="Z66" s="1">
        <v>0</v>
      </c>
      <c r="AA66" s="1" t="s">
        <v>53</v>
      </c>
      <c r="AB66" s="1" t="s">
        <v>530</v>
      </c>
      <c r="AC66" s="1" t="s">
        <v>53</v>
      </c>
      <c r="AD66" s="1" t="s">
        <v>524</v>
      </c>
      <c r="AE66" s="1" t="s">
        <v>805</v>
      </c>
      <c r="AF66" s="7"/>
      <c r="AG66" s="7"/>
      <c r="AH66" s="7"/>
      <c r="AI66" s="7"/>
      <c r="AJ66" s="7"/>
      <c r="AK66" s="7"/>
      <c r="AL66" s="7"/>
      <c r="AM66" s="7"/>
      <c r="AN66" s="7"/>
      <c r="AO66" s="7"/>
      <c r="AP66" s="7"/>
      <c r="AQ66" s="7"/>
      <c r="AR66" s="130"/>
      <c r="AS66" s="9"/>
      <c r="AT66" s="9"/>
      <c r="AU66" s="9"/>
      <c r="AV66" s="9"/>
      <c r="AW66" s="9"/>
      <c r="AX66" s="9"/>
      <c r="AY66" s="9"/>
      <c r="AZ66" s="9"/>
      <c r="BA66" s="9"/>
      <c r="BB66" s="9"/>
      <c r="BC66" s="9"/>
      <c r="BD66" s="9"/>
      <c r="BE66" s="130"/>
      <c r="BF66" s="9"/>
      <c r="BG66" s="9"/>
      <c r="BH66" s="9"/>
      <c r="BI66" s="9"/>
      <c r="BJ66" s="9"/>
      <c r="BK66" s="9"/>
      <c r="BL66" s="9"/>
      <c r="BM66" s="9"/>
      <c r="BN66" s="9"/>
      <c r="BO66" s="9"/>
      <c r="BP66" s="9"/>
      <c r="BQ66" s="9"/>
      <c r="BR66" s="127"/>
      <c r="BS66" s="19"/>
      <c r="BT66" s="19"/>
      <c r="BU66" s="19"/>
      <c r="BV66" s="19"/>
      <c r="BW66" s="19"/>
      <c r="BX66" s="19"/>
      <c r="BY66" s="19"/>
      <c r="BZ66" s="19"/>
      <c r="CA66" s="19"/>
      <c r="CB66" s="19"/>
      <c r="CC66" s="19"/>
      <c r="CD66" s="19"/>
      <c r="CE66" s="19"/>
      <c r="CF66" s="19"/>
      <c r="CG66" s="19"/>
      <c r="CH66" s="19"/>
      <c r="CI66" s="19"/>
      <c r="CJ66" s="19"/>
      <c r="CK66" s="19"/>
      <c r="CL66" s="19"/>
      <c r="CM66" s="19"/>
      <c r="CN66" s="19"/>
      <c r="CO66" s="19"/>
      <c r="CP66" s="19"/>
      <c r="CQ66" s="19"/>
      <c r="CR66" s="19"/>
      <c r="CS66" s="19"/>
      <c r="CT66" s="19"/>
      <c r="CU66" s="19"/>
      <c r="CV66" s="19"/>
      <c r="CW66" s="19"/>
      <c r="CX66" s="19"/>
      <c r="CY66" s="19"/>
      <c r="CZ66" s="19"/>
      <c r="DA66" s="19"/>
      <c r="DB66" s="19"/>
      <c r="DO66" s="1">
        <f t="shared" si="3"/>
        <v>0</v>
      </c>
      <c r="DP66" s="526"/>
    </row>
    <row r="67" spans="1:120" s="1" customFormat="1" ht="25.9" customHeight="1" x14ac:dyDescent="0.2">
      <c r="A67" s="6" t="s">
        <v>806</v>
      </c>
      <c r="B67" s="33" t="s">
        <v>107</v>
      </c>
      <c r="C67" s="1" t="s">
        <v>807</v>
      </c>
      <c r="D67" s="1" t="s">
        <v>808</v>
      </c>
      <c r="E67" s="1" t="s">
        <v>752</v>
      </c>
      <c r="F67" s="33" t="s">
        <v>49</v>
      </c>
      <c r="G67" s="33" t="s">
        <v>712</v>
      </c>
      <c r="H67" s="1" t="s">
        <v>51</v>
      </c>
      <c r="I67" s="115">
        <v>40940</v>
      </c>
      <c r="J67" s="115">
        <v>42185</v>
      </c>
      <c r="K67" s="116">
        <v>2350450</v>
      </c>
      <c r="L67" s="116">
        <v>1833010.56</v>
      </c>
      <c r="M67" s="1">
        <f t="shared" si="4"/>
        <v>0</v>
      </c>
      <c r="P67" s="1">
        <f t="shared" si="5"/>
        <v>0</v>
      </c>
      <c r="S67" s="1">
        <f t="shared" si="6"/>
        <v>0</v>
      </c>
      <c r="U67" s="116">
        <v>517439.43999999994</v>
      </c>
      <c r="X67" s="1" t="s">
        <v>517</v>
      </c>
      <c r="Y67" s="1">
        <v>0</v>
      </c>
      <c r="Z67" s="1">
        <v>0</v>
      </c>
      <c r="AA67" s="1" t="s">
        <v>53</v>
      </c>
      <c r="AB67" s="1" t="s">
        <v>530</v>
      </c>
      <c r="AC67" s="1" t="s">
        <v>53</v>
      </c>
      <c r="AD67" s="1" t="s">
        <v>524</v>
      </c>
      <c r="AE67" s="1" t="s">
        <v>809</v>
      </c>
      <c r="AF67" s="7"/>
      <c r="AG67" s="7"/>
      <c r="AH67" s="7"/>
      <c r="AI67" s="7"/>
      <c r="AJ67" s="7"/>
      <c r="AK67" s="7"/>
      <c r="AL67" s="7"/>
      <c r="AM67" s="7"/>
      <c r="AN67" s="7"/>
      <c r="AO67" s="7"/>
      <c r="AP67" s="7"/>
      <c r="AQ67" s="7"/>
      <c r="AR67" s="130"/>
      <c r="AS67" s="9"/>
      <c r="AT67" s="9"/>
      <c r="AU67" s="9"/>
      <c r="AV67" s="9"/>
      <c r="AW67" s="9"/>
      <c r="AX67" s="9"/>
      <c r="AY67" s="9"/>
      <c r="AZ67" s="9"/>
      <c r="BA67" s="9"/>
      <c r="BB67" s="9"/>
      <c r="BC67" s="9"/>
      <c r="BD67" s="9"/>
      <c r="BE67" s="130"/>
      <c r="BF67" s="9"/>
      <c r="BG67" s="9"/>
      <c r="BH67" s="9"/>
      <c r="BI67" s="9"/>
      <c r="BJ67" s="9"/>
      <c r="BK67" s="9"/>
      <c r="BL67" s="9"/>
      <c r="BM67" s="9"/>
      <c r="BN67" s="9"/>
      <c r="BO67" s="9"/>
      <c r="BP67" s="9"/>
      <c r="BQ67" s="9"/>
      <c r="BR67" s="127"/>
      <c r="BS67" s="19"/>
      <c r="BT67" s="19"/>
      <c r="BU67" s="19"/>
      <c r="BV67" s="19"/>
      <c r="BW67" s="19"/>
      <c r="BX67" s="19"/>
      <c r="BY67" s="19"/>
      <c r="BZ67" s="19"/>
      <c r="CA67" s="19"/>
      <c r="CB67" s="19"/>
      <c r="CC67" s="19"/>
      <c r="CD67" s="19"/>
      <c r="CE67" s="19"/>
      <c r="CF67" s="19"/>
      <c r="CG67" s="19"/>
      <c r="CH67" s="19"/>
      <c r="CI67" s="19"/>
      <c r="CJ67" s="19"/>
      <c r="CK67" s="19"/>
      <c r="CL67" s="19"/>
      <c r="CM67" s="19"/>
      <c r="CN67" s="19"/>
      <c r="CO67" s="19"/>
      <c r="CP67" s="19"/>
      <c r="CQ67" s="19"/>
      <c r="CR67" s="19"/>
      <c r="CS67" s="19"/>
      <c r="CT67" s="19"/>
      <c r="CU67" s="19"/>
      <c r="CV67" s="19"/>
      <c r="CW67" s="19"/>
      <c r="CX67" s="19"/>
      <c r="CY67" s="19"/>
      <c r="CZ67" s="19"/>
      <c r="DA67" s="19"/>
      <c r="DB67" s="19"/>
      <c r="DO67" s="1">
        <f t="shared" ref="DO67:DO130" si="7">SUM(DC67:DN67)</f>
        <v>0</v>
      </c>
      <c r="DP67" s="526"/>
    </row>
    <row r="68" spans="1:120" s="1" customFormat="1" ht="25.9" customHeight="1" x14ac:dyDescent="0.2">
      <c r="A68" s="6" t="s">
        <v>810</v>
      </c>
      <c r="B68" s="33" t="s">
        <v>57</v>
      </c>
      <c r="C68" s="1" t="s">
        <v>811</v>
      </c>
      <c r="D68" s="1" t="s">
        <v>812</v>
      </c>
      <c r="E68" s="1" t="s">
        <v>813</v>
      </c>
      <c r="F68" s="33" t="s">
        <v>49</v>
      </c>
      <c r="G68" s="33" t="s">
        <v>354</v>
      </c>
      <c r="H68" s="1" t="s">
        <v>814</v>
      </c>
      <c r="I68" s="115">
        <v>42276</v>
      </c>
      <c r="J68" s="115">
        <v>42367</v>
      </c>
      <c r="K68" s="116">
        <v>500000</v>
      </c>
      <c r="L68" s="116">
        <v>378880</v>
      </c>
      <c r="M68" s="1">
        <f t="shared" ref="M68:M99" si="8">AR68</f>
        <v>0</v>
      </c>
      <c r="P68" s="1">
        <f t="shared" ref="P68:P99" si="9">BE69</f>
        <v>0</v>
      </c>
      <c r="S68" s="1">
        <f t="shared" ref="S68:S99" si="10">BR68</f>
        <v>0</v>
      </c>
      <c r="U68" s="116">
        <v>121120</v>
      </c>
      <c r="X68" s="1" t="s">
        <v>517</v>
      </c>
      <c r="Y68" s="1">
        <v>0</v>
      </c>
      <c r="Z68" s="1">
        <v>0</v>
      </c>
      <c r="AA68" s="1" t="s">
        <v>53</v>
      </c>
      <c r="AB68" s="1" t="s">
        <v>53</v>
      </c>
      <c r="AC68" s="1" t="s">
        <v>53</v>
      </c>
      <c r="AD68" s="1" t="s">
        <v>524</v>
      </c>
      <c r="AE68" s="1" t="s">
        <v>815</v>
      </c>
      <c r="AF68" s="7"/>
      <c r="AG68" s="7"/>
      <c r="AH68" s="7"/>
      <c r="AI68" s="7"/>
      <c r="AJ68" s="7"/>
      <c r="AK68" s="7"/>
      <c r="AL68" s="7"/>
      <c r="AM68" s="7"/>
      <c r="AN68" s="7"/>
      <c r="AO68" s="7"/>
      <c r="AP68" s="7"/>
      <c r="AQ68" s="7"/>
      <c r="AR68" s="130"/>
      <c r="AS68" s="9"/>
      <c r="AT68" s="9"/>
      <c r="AU68" s="9"/>
      <c r="AV68" s="9"/>
      <c r="AW68" s="9"/>
      <c r="AX68" s="9"/>
      <c r="AY68" s="9"/>
      <c r="AZ68" s="9"/>
      <c r="BA68" s="9"/>
      <c r="BB68" s="9"/>
      <c r="BC68" s="9"/>
      <c r="BD68" s="9"/>
      <c r="BE68" s="130"/>
      <c r="BF68" s="9"/>
      <c r="BG68" s="9"/>
      <c r="BH68" s="9"/>
      <c r="BI68" s="9"/>
      <c r="BJ68" s="9"/>
      <c r="BK68" s="9"/>
      <c r="BL68" s="9"/>
      <c r="BM68" s="9"/>
      <c r="BN68" s="9"/>
      <c r="BO68" s="9"/>
      <c r="BP68" s="9"/>
      <c r="BQ68" s="9"/>
      <c r="BR68" s="127"/>
      <c r="BS68" s="19"/>
      <c r="BT68" s="19"/>
      <c r="BU68" s="19"/>
      <c r="BV68" s="19"/>
      <c r="BW68" s="19"/>
      <c r="BX68" s="19"/>
      <c r="BY68" s="19"/>
      <c r="BZ68" s="19"/>
      <c r="CA68" s="19"/>
      <c r="CB68" s="19"/>
      <c r="CC68" s="19"/>
      <c r="CD68" s="19"/>
      <c r="CE68" s="19"/>
      <c r="CF68" s="19"/>
      <c r="CG68" s="19"/>
      <c r="CH68" s="19"/>
      <c r="CI68" s="19"/>
      <c r="CJ68" s="19"/>
      <c r="CK68" s="19"/>
      <c r="CL68" s="19"/>
      <c r="CM68" s="19"/>
      <c r="CN68" s="19"/>
      <c r="CO68" s="19"/>
      <c r="CP68" s="19"/>
      <c r="CQ68" s="19"/>
      <c r="CR68" s="19"/>
      <c r="CS68" s="19"/>
      <c r="CT68" s="19"/>
      <c r="CU68" s="19"/>
      <c r="CV68" s="19"/>
      <c r="CW68" s="19"/>
      <c r="CX68" s="19"/>
      <c r="CY68" s="19"/>
      <c r="CZ68" s="19"/>
      <c r="DA68" s="19"/>
      <c r="DB68" s="19"/>
      <c r="DO68" s="1">
        <f t="shared" si="7"/>
        <v>0</v>
      </c>
      <c r="DP68" s="526"/>
    </row>
    <row r="69" spans="1:120" s="1" customFormat="1" ht="25.9" customHeight="1" x14ac:dyDescent="0.2">
      <c r="A69" s="6" t="s">
        <v>816</v>
      </c>
      <c r="B69" s="33" t="s">
        <v>45</v>
      </c>
      <c r="C69" s="1" t="s">
        <v>817</v>
      </c>
      <c r="D69" s="1" t="s">
        <v>818</v>
      </c>
      <c r="E69" s="1" t="s">
        <v>819</v>
      </c>
      <c r="F69" s="33" t="s">
        <v>49</v>
      </c>
      <c r="G69" s="33" t="s">
        <v>734</v>
      </c>
      <c r="H69" s="1" t="s">
        <v>820</v>
      </c>
      <c r="I69" s="115">
        <v>41452</v>
      </c>
      <c r="J69" s="115">
        <v>42548</v>
      </c>
      <c r="K69" s="116"/>
      <c r="L69" s="116">
        <v>1410028.3581400001</v>
      </c>
      <c r="M69" s="1">
        <f t="shared" si="8"/>
        <v>0</v>
      </c>
      <c r="P69" s="1">
        <f t="shared" si="9"/>
        <v>0</v>
      </c>
      <c r="S69" s="1">
        <f t="shared" si="10"/>
        <v>0</v>
      </c>
      <c r="U69" s="116">
        <v>-1410028.3581400001</v>
      </c>
      <c r="X69" s="1" t="s">
        <v>517</v>
      </c>
      <c r="Y69" s="1">
        <v>0</v>
      </c>
      <c r="Z69" s="1">
        <v>0</v>
      </c>
      <c r="AA69" s="1" t="s">
        <v>53</v>
      </c>
      <c r="AB69" s="1" t="s">
        <v>530</v>
      </c>
      <c r="AC69" s="1" t="s">
        <v>53</v>
      </c>
      <c r="AD69" s="1" t="s">
        <v>524</v>
      </c>
      <c r="AE69" s="1" t="s">
        <v>821</v>
      </c>
      <c r="AF69" s="7"/>
      <c r="AG69" s="7"/>
      <c r="AH69" s="7"/>
      <c r="AI69" s="7"/>
      <c r="AJ69" s="7"/>
      <c r="AK69" s="7"/>
      <c r="AL69" s="7"/>
      <c r="AM69" s="7"/>
      <c r="AN69" s="7"/>
      <c r="AO69" s="7"/>
      <c r="AP69" s="7"/>
      <c r="AQ69" s="7"/>
      <c r="AR69" s="130"/>
      <c r="AS69" s="9"/>
      <c r="AT69" s="9"/>
      <c r="AU69" s="9"/>
      <c r="AV69" s="9"/>
      <c r="AW69" s="9"/>
      <c r="AX69" s="9"/>
      <c r="AY69" s="9"/>
      <c r="AZ69" s="9"/>
      <c r="BA69" s="9"/>
      <c r="BB69" s="9"/>
      <c r="BC69" s="9"/>
      <c r="BD69" s="9"/>
      <c r="BE69" s="130"/>
      <c r="BF69" s="9"/>
      <c r="BG69" s="9"/>
      <c r="BH69" s="9"/>
      <c r="BI69" s="9"/>
      <c r="BJ69" s="9"/>
      <c r="BK69" s="9"/>
      <c r="BL69" s="9"/>
      <c r="BM69" s="9"/>
      <c r="BN69" s="9"/>
      <c r="BO69" s="9"/>
      <c r="BP69" s="9"/>
      <c r="BQ69" s="9"/>
      <c r="BR69" s="127"/>
      <c r="BS69" s="19"/>
      <c r="BT69" s="19"/>
      <c r="BU69" s="19"/>
      <c r="BV69" s="19"/>
      <c r="BW69" s="19"/>
      <c r="BX69" s="19"/>
      <c r="BY69" s="19"/>
      <c r="BZ69" s="19"/>
      <c r="CA69" s="19"/>
      <c r="CB69" s="19"/>
      <c r="CC69" s="19"/>
      <c r="CD69" s="19"/>
      <c r="CE69" s="19"/>
      <c r="CF69" s="19"/>
      <c r="CG69" s="19"/>
      <c r="CH69" s="19"/>
      <c r="CI69" s="19"/>
      <c r="CJ69" s="19"/>
      <c r="CK69" s="19"/>
      <c r="CL69" s="19"/>
      <c r="CM69" s="19"/>
      <c r="CN69" s="19"/>
      <c r="CO69" s="19"/>
      <c r="CP69" s="19"/>
      <c r="CQ69" s="19"/>
      <c r="CR69" s="19"/>
      <c r="CS69" s="19"/>
      <c r="CT69" s="19"/>
      <c r="CU69" s="19"/>
      <c r="CV69" s="19"/>
      <c r="CW69" s="19"/>
      <c r="CX69" s="19"/>
      <c r="CY69" s="19"/>
      <c r="CZ69" s="19"/>
      <c r="DA69" s="19"/>
      <c r="DB69" s="19"/>
      <c r="DO69" s="1">
        <f t="shared" si="7"/>
        <v>0</v>
      </c>
      <c r="DP69" s="526"/>
    </row>
    <row r="70" spans="1:120" s="1" customFormat="1" ht="25.9" customHeight="1" x14ac:dyDescent="0.2">
      <c r="A70" s="6" t="s">
        <v>822</v>
      </c>
      <c r="B70" s="33" t="s">
        <v>45</v>
      </c>
      <c r="C70" s="1" t="s">
        <v>823</v>
      </c>
      <c r="D70" s="1" t="s">
        <v>824</v>
      </c>
      <c r="E70" s="1" t="s">
        <v>747</v>
      </c>
      <c r="F70" s="33" t="s">
        <v>49</v>
      </c>
      <c r="G70" s="33" t="s">
        <v>315</v>
      </c>
      <c r="H70" s="1" t="s">
        <v>61</v>
      </c>
      <c r="I70" s="115">
        <v>42234</v>
      </c>
      <c r="J70" s="115">
        <v>42418</v>
      </c>
      <c r="K70" s="116">
        <v>2410927.86</v>
      </c>
      <c r="L70" s="116">
        <v>3955338.4200000004</v>
      </c>
      <c r="M70" s="1">
        <f t="shared" si="8"/>
        <v>0</v>
      </c>
      <c r="P70" s="1">
        <f t="shared" si="9"/>
        <v>0</v>
      </c>
      <c r="S70" s="1">
        <f t="shared" si="10"/>
        <v>0</v>
      </c>
      <c r="U70" s="116">
        <v>-1544410.5600000005</v>
      </c>
      <c r="X70" s="1" t="s">
        <v>517</v>
      </c>
      <c r="Y70" s="1">
        <v>0</v>
      </c>
      <c r="Z70" s="1">
        <v>0</v>
      </c>
      <c r="AA70" s="1" t="s">
        <v>53</v>
      </c>
      <c r="AB70" s="1" t="s">
        <v>530</v>
      </c>
      <c r="AC70" s="1" t="s">
        <v>53</v>
      </c>
      <c r="AD70" s="1" t="s">
        <v>524</v>
      </c>
      <c r="AE70" s="1" t="s">
        <v>825</v>
      </c>
      <c r="AF70" s="7"/>
      <c r="AG70" s="7"/>
      <c r="AH70" s="7"/>
      <c r="AI70" s="7"/>
      <c r="AJ70" s="7"/>
      <c r="AK70" s="7"/>
      <c r="AL70" s="7"/>
      <c r="AM70" s="7"/>
      <c r="AN70" s="7"/>
      <c r="AO70" s="7"/>
      <c r="AP70" s="7"/>
      <c r="AQ70" s="7"/>
      <c r="AR70" s="130"/>
      <c r="AS70" s="9"/>
      <c r="AT70" s="9"/>
      <c r="AU70" s="9"/>
      <c r="AV70" s="9"/>
      <c r="AW70" s="9"/>
      <c r="AX70" s="9"/>
      <c r="AY70" s="9"/>
      <c r="AZ70" s="9"/>
      <c r="BA70" s="9"/>
      <c r="BB70" s="9"/>
      <c r="BC70" s="9"/>
      <c r="BD70" s="9"/>
      <c r="BE70" s="130"/>
      <c r="BF70" s="9"/>
      <c r="BG70" s="9"/>
      <c r="BH70" s="9"/>
      <c r="BI70" s="9"/>
      <c r="BJ70" s="9"/>
      <c r="BK70" s="9"/>
      <c r="BL70" s="9"/>
      <c r="BM70" s="9"/>
      <c r="BN70" s="9"/>
      <c r="BO70" s="9"/>
      <c r="BP70" s="9"/>
      <c r="BQ70" s="9"/>
      <c r="BR70" s="127"/>
      <c r="BS70" s="19"/>
      <c r="BT70" s="19"/>
      <c r="BU70" s="19"/>
      <c r="BV70" s="19"/>
      <c r="BW70" s="19"/>
      <c r="BX70" s="19"/>
      <c r="BY70" s="19"/>
      <c r="BZ70" s="19"/>
      <c r="CA70" s="19"/>
      <c r="CB70" s="19"/>
      <c r="CC70" s="19"/>
      <c r="CD70" s="19"/>
      <c r="CE70" s="19"/>
      <c r="CF70" s="19"/>
      <c r="CG70" s="19"/>
      <c r="CH70" s="19"/>
      <c r="CI70" s="19"/>
      <c r="CJ70" s="19"/>
      <c r="CK70" s="19"/>
      <c r="CL70" s="19"/>
      <c r="CM70" s="19"/>
      <c r="CN70" s="19"/>
      <c r="CO70" s="19"/>
      <c r="CP70" s="19"/>
      <c r="CQ70" s="19"/>
      <c r="CR70" s="19"/>
      <c r="CS70" s="19"/>
      <c r="CT70" s="19"/>
      <c r="CU70" s="19"/>
      <c r="CV70" s="19"/>
      <c r="CW70" s="19"/>
      <c r="CX70" s="19"/>
      <c r="CY70" s="19"/>
      <c r="CZ70" s="19"/>
      <c r="DA70" s="19"/>
      <c r="DB70" s="19"/>
      <c r="DO70" s="1">
        <f t="shared" si="7"/>
        <v>0</v>
      </c>
      <c r="DP70" s="526"/>
    </row>
    <row r="71" spans="1:120" s="1" customFormat="1" ht="25.9" customHeight="1" x14ac:dyDescent="0.2">
      <c r="A71" s="6" t="s">
        <v>826</v>
      </c>
      <c r="B71" s="33" t="s">
        <v>57</v>
      </c>
      <c r="C71" s="1" t="s">
        <v>827</v>
      </c>
      <c r="D71" s="1" t="s">
        <v>828</v>
      </c>
      <c r="E71" s="1" t="s">
        <v>752</v>
      </c>
      <c r="F71" s="33" t="s">
        <v>49</v>
      </c>
      <c r="G71" s="33" t="s">
        <v>315</v>
      </c>
      <c r="H71" s="1" t="s">
        <v>61</v>
      </c>
      <c r="I71" s="115">
        <v>42341</v>
      </c>
      <c r="J71" s="115">
        <v>42524</v>
      </c>
      <c r="K71" s="116">
        <v>2130706.33</v>
      </c>
      <c r="L71" s="116">
        <v>1767209.5</v>
      </c>
      <c r="M71" s="1">
        <f t="shared" si="8"/>
        <v>0</v>
      </c>
      <c r="P71" s="1">
        <f t="shared" si="9"/>
        <v>0</v>
      </c>
      <c r="S71" s="1">
        <f t="shared" si="10"/>
        <v>0</v>
      </c>
      <c r="U71" s="116">
        <v>363496.83000000007</v>
      </c>
      <c r="X71" s="1" t="s">
        <v>517</v>
      </c>
      <c r="Y71" s="1">
        <v>0</v>
      </c>
      <c r="Z71" s="1">
        <v>0</v>
      </c>
      <c r="AA71" s="1" t="s">
        <v>53</v>
      </c>
      <c r="AB71" s="1" t="s">
        <v>530</v>
      </c>
      <c r="AC71" s="1" t="s">
        <v>53</v>
      </c>
      <c r="AD71" s="1" t="s">
        <v>524</v>
      </c>
      <c r="AE71" s="1" t="s">
        <v>829</v>
      </c>
      <c r="AF71" s="7"/>
      <c r="AG71" s="7"/>
      <c r="AH71" s="7"/>
      <c r="AI71" s="7"/>
      <c r="AJ71" s="7"/>
      <c r="AK71" s="7"/>
      <c r="AL71" s="7"/>
      <c r="AM71" s="7"/>
      <c r="AN71" s="7"/>
      <c r="AO71" s="7"/>
      <c r="AP71" s="7"/>
      <c r="AQ71" s="7"/>
      <c r="AR71" s="130"/>
      <c r="AS71" s="9"/>
      <c r="AT71" s="9"/>
      <c r="AU71" s="9"/>
      <c r="AV71" s="9"/>
      <c r="AW71" s="9"/>
      <c r="AX71" s="9"/>
      <c r="AY71" s="9"/>
      <c r="AZ71" s="9"/>
      <c r="BA71" s="9"/>
      <c r="BB71" s="9"/>
      <c r="BC71" s="9"/>
      <c r="BD71" s="9"/>
      <c r="BE71" s="130"/>
      <c r="BF71" s="9"/>
      <c r="BG71" s="9"/>
      <c r="BH71" s="9"/>
      <c r="BI71" s="9"/>
      <c r="BJ71" s="9"/>
      <c r="BK71" s="9"/>
      <c r="BL71" s="9"/>
      <c r="BM71" s="9"/>
      <c r="BN71" s="9"/>
      <c r="BO71" s="9"/>
      <c r="BP71" s="9"/>
      <c r="BQ71" s="9"/>
      <c r="BR71" s="127"/>
      <c r="BS71" s="19"/>
      <c r="BT71" s="19"/>
      <c r="BU71" s="19"/>
      <c r="BV71" s="19"/>
      <c r="BW71" s="19"/>
      <c r="BX71" s="19"/>
      <c r="BY71" s="19"/>
      <c r="BZ71" s="19"/>
      <c r="CA71" s="19"/>
      <c r="CB71" s="19"/>
      <c r="CC71" s="19"/>
      <c r="CD71" s="19"/>
      <c r="CE71" s="19"/>
      <c r="CF71" s="19"/>
      <c r="CG71" s="19"/>
      <c r="CH71" s="19"/>
      <c r="CI71" s="19"/>
      <c r="CJ71" s="19"/>
      <c r="CK71" s="19"/>
      <c r="CL71" s="19"/>
      <c r="CM71" s="19"/>
      <c r="CN71" s="19"/>
      <c r="CO71" s="19"/>
      <c r="CP71" s="19"/>
      <c r="CQ71" s="19"/>
      <c r="CR71" s="19"/>
      <c r="CS71" s="19"/>
      <c r="CT71" s="19"/>
      <c r="CU71" s="19"/>
      <c r="CV71" s="19"/>
      <c r="CW71" s="19"/>
      <c r="CX71" s="19"/>
      <c r="CY71" s="19"/>
      <c r="CZ71" s="19"/>
      <c r="DA71" s="19"/>
      <c r="DB71" s="19"/>
      <c r="DO71" s="1">
        <f t="shared" si="7"/>
        <v>0</v>
      </c>
      <c r="DP71" s="526"/>
    </row>
    <row r="72" spans="1:120" s="1" customFormat="1" ht="25.9" customHeight="1" x14ac:dyDescent="0.2">
      <c r="A72" s="6" t="s">
        <v>830</v>
      </c>
      <c r="B72" s="33" t="s">
        <v>57</v>
      </c>
      <c r="C72" s="1" t="s">
        <v>831</v>
      </c>
      <c r="D72" s="1" t="s">
        <v>832</v>
      </c>
      <c r="E72" s="1" t="s">
        <v>163</v>
      </c>
      <c r="F72" s="33" t="s">
        <v>49</v>
      </c>
      <c r="G72" s="33" t="s">
        <v>315</v>
      </c>
      <c r="H72" s="1" t="s">
        <v>61</v>
      </c>
      <c r="I72" s="115">
        <v>42337</v>
      </c>
      <c r="J72" s="115">
        <v>42611</v>
      </c>
      <c r="K72" s="116">
        <v>1921531.83</v>
      </c>
      <c r="L72" s="116">
        <v>4228716.7300000004</v>
      </c>
      <c r="M72" s="1">
        <f t="shared" si="8"/>
        <v>0</v>
      </c>
      <c r="P72" s="1">
        <f t="shared" si="9"/>
        <v>0</v>
      </c>
      <c r="S72" s="1">
        <f t="shared" si="10"/>
        <v>0</v>
      </c>
      <c r="U72" s="116">
        <v>-2307184.9000000004</v>
      </c>
      <c r="X72" s="1" t="s">
        <v>517</v>
      </c>
      <c r="Y72" s="1">
        <v>0</v>
      </c>
      <c r="Z72" s="1">
        <v>0</v>
      </c>
      <c r="AA72" s="1" t="s">
        <v>53</v>
      </c>
      <c r="AB72" s="1" t="s">
        <v>530</v>
      </c>
      <c r="AC72" s="1" t="s">
        <v>53</v>
      </c>
      <c r="AD72" s="1" t="s">
        <v>524</v>
      </c>
      <c r="AE72" s="1" t="s">
        <v>833</v>
      </c>
      <c r="AF72" s="7"/>
      <c r="AG72" s="7"/>
      <c r="AH72" s="7"/>
      <c r="AI72" s="7"/>
      <c r="AJ72" s="7"/>
      <c r="AK72" s="7"/>
      <c r="AL72" s="7"/>
      <c r="AM72" s="7"/>
      <c r="AN72" s="7"/>
      <c r="AO72" s="7"/>
      <c r="AP72" s="7"/>
      <c r="AQ72" s="7"/>
      <c r="AR72" s="130"/>
      <c r="AS72" s="9"/>
      <c r="AT72" s="9"/>
      <c r="AU72" s="9"/>
      <c r="AV72" s="9"/>
      <c r="AW72" s="9"/>
      <c r="AX72" s="9"/>
      <c r="AY72" s="9"/>
      <c r="AZ72" s="9"/>
      <c r="BA72" s="9"/>
      <c r="BB72" s="9"/>
      <c r="BC72" s="9"/>
      <c r="BD72" s="9"/>
      <c r="BE72" s="130"/>
      <c r="BF72" s="9"/>
      <c r="BG72" s="9"/>
      <c r="BH72" s="9"/>
      <c r="BI72" s="9"/>
      <c r="BJ72" s="9"/>
      <c r="BK72" s="9"/>
      <c r="BL72" s="9"/>
      <c r="BM72" s="9"/>
      <c r="BN72" s="9"/>
      <c r="BO72" s="9"/>
      <c r="BP72" s="9"/>
      <c r="BQ72" s="9"/>
      <c r="BR72" s="127"/>
      <c r="BS72" s="19"/>
      <c r="BT72" s="19"/>
      <c r="BU72" s="19"/>
      <c r="BV72" s="19"/>
      <c r="BW72" s="19"/>
      <c r="BX72" s="19"/>
      <c r="BY72" s="19"/>
      <c r="BZ72" s="19"/>
      <c r="CA72" s="19"/>
      <c r="CB72" s="19"/>
      <c r="CC72" s="19"/>
      <c r="CD72" s="19"/>
      <c r="CE72" s="19"/>
      <c r="CF72" s="19"/>
      <c r="CG72" s="19"/>
      <c r="CH72" s="19"/>
      <c r="CI72" s="19"/>
      <c r="CJ72" s="19"/>
      <c r="CK72" s="19"/>
      <c r="CL72" s="19"/>
      <c r="CM72" s="19"/>
      <c r="CN72" s="19"/>
      <c r="CO72" s="19"/>
      <c r="CP72" s="19"/>
      <c r="CQ72" s="19"/>
      <c r="CR72" s="19"/>
      <c r="CS72" s="19"/>
      <c r="CT72" s="19"/>
      <c r="CU72" s="19"/>
      <c r="CV72" s="19"/>
      <c r="CW72" s="19"/>
      <c r="CX72" s="19"/>
      <c r="CY72" s="19"/>
      <c r="CZ72" s="19"/>
      <c r="DA72" s="19"/>
      <c r="DB72" s="19"/>
      <c r="DO72" s="1">
        <f t="shared" si="7"/>
        <v>0</v>
      </c>
      <c r="DP72" s="526"/>
    </row>
    <row r="73" spans="1:120" s="1" customFormat="1" ht="25.9" customHeight="1" x14ac:dyDescent="0.2">
      <c r="A73" s="6" t="s">
        <v>834</v>
      </c>
      <c r="B73" s="33" t="s">
        <v>57</v>
      </c>
      <c r="C73" s="1" t="s">
        <v>835</v>
      </c>
      <c r="D73" s="1" t="s">
        <v>836</v>
      </c>
      <c r="E73" s="1" t="s">
        <v>689</v>
      </c>
      <c r="F73" s="33" t="s">
        <v>49</v>
      </c>
      <c r="G73" s="33" t="s">
        <v>315</v>
      </c>
      <c r="H73" s="1" t="s">
        <v>563</v>
      </c>
      <c r="I73" s="115">
        <v>42334</v>
      </c>
      <c r="J73" s="115">
        <v>42426</v>
      </c>
      <c r="K73" s="116" t="s">
        <v>583</v>
      </c>
      <c r="L73" s="116">
        <v>217840.77000000002</v>
      </c>
      <c r="M73" s="1">
        <f t="shared" si="8"/>
        <v>0</v>
      </c>
      <c r="P73" s="1">
        <f t="shared" si="9"/>
        <v>0</v>
      </c>
      <c r="S73" s="1">
        <f t="shared" si="10"/>
        <v>0</v>
      </c>
      <c r="U73" s="116" t="e">
        <v>#VALUE!</v>
      </c>
      <c r="X73" s="1" t="s">
        <v>517</v>
      </c>
      <c r="Y73" s="1">
        <v>0</v>
      </c>
      <c r="Z73" s="1">
        <v>0</v>
      </c>
      <c r="AA73" s="1" t="s">
        <v>53</v>
      </c>
      <c r="AB73" s="1" t="s">
        <v>530</v>
      </c>
      <c r="AC73" s="1" t="s">
        <v>53</v>
      </c>
      <c r="AD73" s="1" t="s">
        <v>524</v>
      </c>
      <c r="AE73" s="1" t="s">
        <v>837</v>
      </c>
      <c r="AF73" s="7"/>
      <c r="AG73" s="7"/>
      <c r="AH73" s="7"/>
      <c r="AI73" s="7"/>
      <c r="AJ73" s="7"/>
      <c r="AK73" s="7"/>
      <c r="AL73" s="7"/>
      <c r="AM73" s="7"/>
      <c r="AN73" s="7"/>
      <c r="AO73" s="7"/>
      <c r="AP73" s="7"/>
      <c r="AQ73" s="7"/>
      <c r="AR73" s="130"/>
      <c r="AS73" s="9"/>
      <c r="AT73" s="9"/>
      <c r="AU73" s="9"/>
      <c r="AV73" s="9"/>
      <c r="AW73" s="9"/>
      <c r="AX73" s="9"/>
      <c r="AY73" s="9"/>
      <c r="AZ73" s="9"/>
      <c r="BA73" s="9"/>
      <c r="BB73" s="9"/>
      <c r="BC73" s="9"/>
      <c r="BD73" s="9"/>
      <c r="BE73" s="130"/>
      <c r="BF73" s="9"/>
      <c r="BG73" s="9"/>
      <c r="BH73" s="9"/>
      <c r="BI73" s="9"/>
      <c r="BJ73" s="9"/>
      <c r="BK73" s="9"/>
      <c r="BL73" s="9"/>
      <c r="BM73" s="9"/>
      <c r="BN73" s="9"/>
      <c r="BO73" s="9"/>
      <c r="BP73" s="9"/>
      <c r="BQ73" s="9"/>
      <c r="BR73" s="127"/>
      <c r="BS73" s="19"/>
      <c r="BT73" s="19"/>
      <c r="BU73" s="19"/>
      <c r="BV73" s="19"/>
      <c r="BW73" s="19"/>
      <c r="BX73" s="19"/>
      <c r="BY73" s="19"/>
      <c r="BZ73" s="19"/>
      <c r="CA73" s="19"/>
      <c r="CB73" s="19"/>
      <c r="CC73" s="19"/>
      <c r="CD73" s="19"/>
      <c r="CE73" s="19"/>
      <c r="CF73" s="19"/>
      <c r="CG73" s="19"/>
      <c r="CH73" s="19"/>
      <c r="CI73" s="19"/>
      <c r="CJ73" s="19"/>
      <c r="CK73" s="19"/>
      <c r="CL73" s="19"/>
      <c r="CM73" s="19"/>
      <c r="CN73" s="19"/>
      <c r="CO73" s="19"/>
      <c r="CP73" s="19"/>
      <c r="CQ73" s="19"/>
      <c r="CR73" s="19"/>
      <c r="CS73" s="19"/>
      <c r="CT73" s="19"/>
      <c r="CU73" s="19"/>
      <c r="CV73" s="19"/>
      <c r="CW73" s="19"/>
      <c r="CX73" s="19"/>
      <c r="CY73" s="19"/>
      <c r="CZ73" s="19"/>
      <c r="DA73" s="19"/>
      <c r="DB73" s="19"/>
      <c r="DO73" s="1">
        <f t="shared" si="7"/>
        <v>0</v>
      </c>
      <c r="DP73" s="526"/>
    </row>
    <row r="74" spans="1:120" s="1" customFormat="1" ht="25.9" customHeight="1" x14ac:dyDescent="0.2">
      <c r="A74" s="6" t="s">
        <v>838</v>
      </c>
      <c r="B74" s="33" t="s">
        <v>57</v>
      </c>
      <c r="C74" s="1" t="s">
        <v>839</v>
      </c>
      <c r="D74" s="1" t="s">
        <v>840</v>
      </c>
      <c r="E74" s="1" t="s">
        <v>79</v>
      </c>
      <c r="F74" s="33" t="s">
        <v>49</v>
      </c>
      <c r="G74" s="33" t="s">
        <v>803</v>
      </c>
      <c r="H74" s="1" t="s">
        <v>563</v>
      </c>
      <c r="I74" s="115">
        <v>42361</v>
      </c>
      <c r="J74" s="115">
        <v>42452</v>
      </c>
      <c r="K74" s="116" t="s">
        <v>583</v>
      </c>
      <c r="L74" s="116">
        <v>509490.32999999996</v>
      </c>
      <c r="M74" s="1">
        <f t="shared" si="8"/>
        <v>0</v>
      </c>
      <c r="P74" s="1">
        <f t="shared" si="9"/>
        <v>0</v>
      </c>
      <c r="S74" s="1">
        <f t="shared" si="10"/>
        <v>0</v>
      </c>
      <c r="U74" s="116"/>
      <c r="X74" s="1" t="s">
        <v>517</v>
      </c>
      <c r="Y74" s="1">
        <v>0</v>
      </c>
      <c r="Z74" s="1">
        <v>0</v>
      </c>
      <c r="AA74" s="1" t="s">
        <v>53</v>
      </c>
      <c r="AB74" s="1" t="s">
        <v>530</v>
      </c>
      <c r="AC74" s="1" t="s">
        <v>53</v>
      </c>
      <c r="AD74" s="1" t="s">
        <v>524</v>
      </c>
      <c r="AE74" s="1" t="s">
        <v>841</v>
      </c>
      <c r="AF74" s="7"/>
      <c r="AG74" s="7"/>
      <c r="AH74" s="7"/>
      <c r="AI74" s="7"/>
      <c r="AJ74" s="7"/>
      <c r="AK74" s="7"/>
      <c r="AL74" s="7"/>
      <c r="AM74" s="7"/>
      <c r="AN74" s="7"/>
      <c r="AO74" s="7"/>
      <c r="AP74" s="7"/>
      <c r="AQ74" s="7"/>
      <c r="AR74" s="130"/>
      <c r="AS74" s="9"/>
      <c r="AT74" s="9"/>
      <c r="AU74" s="9"/>
      <c r="AV74" s="9"/>
      <c r="AW74" s="9"/>
      <c r="AX74" s="9"/>
      <c r="AY74" s="9"/>
      <c r="AZ74" s="9"/>
      <c r="BA74" s="9"/>
      <c r="BB74" s="9"/>
      <c r="BC74" s="9"/>
      <c r="BD74" s="9"/>
      <c r="BE74" s="130"/>
      <c r="BF74" s="9"/>
      <c r="BG74" s="9"/>
      <c r="BH74" s="9"/>
      <c r="BI74" s="9"/>
      <c r="BJ74" s="9"/>
      <c r="BK74" s="9"/>
      <c r="BL74" s="9"/>
      <c r="BM74" s="9"/>
      <c r="BN74" s="9"/>
      <c r="BO74" s="9"/>
      <c r="BP74" s="9"/>
      <c r="BQ74" s="9"/>
      <c r="BR74" s="127"/>
      <c r="BS74" s="19"/>
      <c r="BT74" s="19"/>
      <c r="BU74" s="19"/>
      <c r="BV74" s="19"/>
      <c r="BW74" s="19"/>
      <c r="BX74" s="19"/>
      <c r="BY74" s="19"/>
      <c r="BZ74" s="19"/>
      <c r="CA74" s="19"/>
      <c r="CB74" s="19"/>
      <c r="CC74" s="19"/>
      <c r="CD74" s="19"/>
      <c r="CE74" s="19"/>
      <c r="CF74" s="19"/>
      <c r="CG74" s="19"/>
      <c r="CH74" s="19"/>
      <c r="CI74" s="19"/>
      <c r="CJ74" s="19"/>
      <c r="CK74" s="19"/>
      <c r="CL74" s="19"/>
      <c r="CM74" s="19"/>
      <c r="CN74" s="19"/>
      <c r="CO74" s="19"/>
      <c r="CP74" s="19"/>
      <c r="CQ74" s="19"/>
      <c r="CR74" s="19"/>
      <c r="CS74" s="19"/>
      <c r="CT74" s="19"/>
      <c r="CU74" s="19"/>
      <c r="CV74" s="19"/>
      <c r="CW74" s="19"/>
      <c r="CX74" s="19"/>
      <c r="CY74" s="19"/>
      <c r="CZ74" s="19"/>
      <c r="DA74" s="19"/>
      <c r="DB74" s="19"/>
      <c r="DO74" s="1">
        <f t="shared" si="7"/>
        <v>0</v>
      </c>
      <c r="DP74" s="526"/>
    </row>
    <row r="75" spans="1:120" s="1" customFormat="1" ht="25.9" customHeight="1" x14ac:dyDescent="0.2">
      <c r="A75" s="6" t="s">
        <v>842</v>
      </c>
      <c r="B75" s="33" t="s">
        <v>57</v>
      </c>
      <c r="C75" s="1" t="s">
        <v>843</v>
      </c>
      <c r="D75" s="1" t="s">
        <v>47</v>
      </c>
      <c r="E75" s="1" t="s">
        <v>48</v>
      </c>
      <c r="F75" s="33" t="s">
        <v>49</v>
      </c>
      <c r="G75" s="33" t="s">
        <v>712</v>
      </c>
      <c r="H75" s="1" t="s">
        <v>61</v>
      </c>
      <c r="I75" s="115">
        <v>42416</v>
      </c>
      <c r="J75" s="115">
        <v>43512</v>
      </c>
      <c r="K75" s="116">
        <v>11373983.289999999</v>
      </c>
      <c r="L75" s="116">
        <v>6868872.0500000007</v>
      </c>
      <c r="M75" s="1">
        <f t="shared" si="8"/>
        <v>0</v>
      </c>
      <c r="P75" s="1">
        <f t="shared" si="9"/>
        <v>0</v>
      </c>
      <c r="S75" s="1">
        <f t="shared" si="10"/>
        <v>0</v>
      </c>
      <c r="U75" s="116">
        <v>4505111.2399999984</v>
      </c>
      <c r="X75" s="1" t="s">
        <v>52</v>
      </c>
      <c r="Y75" s="1">
        <v>0</v>
      </c>
      <c r="Z75" s="1">
        <v>0</v>
      </c>
      <c r="AA75" s="1" t="s">
        <v>53</v>
      </c>
      <c r="AB75" s="1" t="s">
        <v>53</v>
      </c>
      <c r="AC75" s="1" t="s">
        <v>53</v>
      </c>
      <c r="AD75" s="1" t="s">
        <v>524</v>
      </c>
      <c r="AE75" s="1" t="s">
        <v>844</v>
      </c>
      <c r="AF75" s="7"/>
      <c r="AG75" s="7"/>
      <c r="AH75" s="7"/>
      <c r="AI75" s="7"/>
      <c r="AJ75" s="7"/>
      <c r="AK75" s="7"/>
      <c r="AL75" s="7"/>
      <c r="AM75" s="7"/>
      <c r="AN75" s="7"/>
      <c r="AO75" s="7"/>
      <c r="AP75" s="7"/>
      <c r="AQ75" s="7"/>
      <c r="AR75" s="130"/>
      <c r="AS75" s="9"/>
      <c r="AT75" s="9"/>
      <c r="AU75" s="9"/>
      <c r="AV75" s="9"/>
      <c r="AW75" s="9"/>
      <c r="AX75" s="9"/>
      <c r="AY75" s="9"/>
      <c r="AZ75" s="9"/>
      <c r="BA75" s="9"/>
      <c r="BB75" s="9"/>
      <c r="BC75" s="9"/>
      <c r="BD75" s="9"/>
      <c r="BE75" s="130"/>
      <c r="BF75" s="9"/>
      <c r="BG75" s="9"/>
      <c r="BH75" s="9"/>
      <c r="BI75" s="9"/>
      <c r="BJ75" s="9"/>
      <c r="BK75" s="9"/>
      <c r="BL75" s="9"/>
      <c r="BM75" s="9"/>
      <c r="BN75" s="9"/>
      <c r="BO75" s="9"/>
      <c r="BP75" s="9"/>
      <c r="BQ75" s="9"/>
      <c r="BR75" s="127"/>
      <c r="BS75" s="19"/>
      <c r="BT75" s="19"/>
      <c r="BU75" s="19"/>
      <c r="BV75" s="19"/>
      <c r="BW75" s="19"/>
      <c r="BX75" s="19"/>
      <c r="BY75" s="19"/>
      <c r="BZ75" s="19"/>
      <c r="CA75" s="19"/>
      <c r="CB75" s="19"/>
      <c r="CC75" s="19"/>
      <c r="CD75" s="19"/>
      <c r="CE75" s="19"/>
      <c r="CF75" s="19"/>
      <c r="CG75" s="19"/>
      <c r="CH75" s="19"/>
      <c r="CI75" s="19"/>
      <c r="CJ75" s="19"/>
      <c r="CK75" s="19"/>
      <c r="CL75" s="19"/>
      <c r="CM75" s="19"/>
      <c r="CN75" s="19"/>
      <c r="CO75" s="19"/>
      <c r="CP75" s="19"/>
      <c r="CQ75" s="19"/>
      <c r="CR75" s="19"/>
      <c r="CS75" s="19"/>
      <c r="CT75" s="19"/>
      <c r="CU75" s="19"/>
      <c r="CV75" s="19"/>
      <c r="CW75" s="19"/>
      <c r="CX75" s="19"/>
      <c r="CY75" s="19"/>
      <c r="CZ75" s="19"/>
      <c r="DA75" s="19"/>
      <c r="DB75" s="19"/>
      <c r="DO75" s="1">
        <f t="shared" si="7"/>
        <v>0</v>
      </c>
      <c r="DP75" s="526"/>
    </row>
    <row r="76" spans="1:120" s="1" customFormat="1" ht="25.9" customHeight="1" x14ac:dyDescent="0.2">
      <c r="A76" s="6" t="s">
        <v>845</v>
      </c>
      <c r="B76" s="33" t="s">
        <v>57</v>
      </c>
      <c r="C76" s="1" t="s">
        <v>846</v>
      </c>
      <c r="D76" s="1" t="s">
        <v>847</v>
      </c>
      <c r="E76" s="1" t="s">
        <v>848</v>
      </c>
      <c r="F76" s="33" t="s">
        <v>49</v>
      </c>
      <c r="G76" s="33" t="s">
        <v>315</v>
      </c>
      <c r="H76" s="1" t="s">
        <v>61</v>
      </c>
      <c r="I76" s="115">
        <v>42395</v>
      </c>
      <c r="J76" s="115">
        <v>42486</v>
      </c>
      <c r="K76" s="116">
        <v>8340767.8200000003</v>
      </c>
      <c r="L76" s="116">
        <v>4667652.33</v>
      </c>
      <c r="M76" s="1">
        <f t="shared" si="8"/>
        <v>0</v>
      </c>
      <c r="P76" s="1">
        <f t="shared" si="9"/>
        <v>0</v>
      </c>
      <c r="S76" s="1">
        <f t="shared" si="10"/>
        <v>0</v>
      </c>
      <c r="U76" s="116">
        <v>3673115.49</v>
      </c>
      <c r="X76" s="1" t="s">
        <v>517</v>
      </c>
      <c r="Y76" s="1">
        <v>0</v>
      </c>
      <c r="Z76" s="1">
        <v>0</v>
      </c>
      <c r="AA76" s="1" t="s">
        <v>53</v>
      </c>
      <c r="AB76" s="1" t="s">
        <v>530</v>
      </c>
      <c r="AC76" s="1" t="s">
        <v>53</v>
      </c>
      <c r="AD76" s="1" t="s">
        <v>524</v>
      </c>
      <c r="AE76" s="1" t="s">
        <v>849</v>
      </c>
      <c r="AF76" s="7"/>
      <c r="AG76" s="7"/>
      <c r="AH76" s="7"/>
      <c r="AI76" s="7"/>
      <c r="AJ76" s="7"/>
      <c r="AK76" s="7"/>
      <c r="AL76" s="7"/>
      <c r="AM76" s="7"/>
      <c r="AN76" s="7"/>
      <c r="AO76" s="7"/>
      <c r="AP76" s="7"/>
      <c r="AQ76" s="7"/>
      <c r="AR76" s="130"/>
      <c r="AS76" s="9"/>
      <c r="AT76" s="9"/>
      <c r="AU76" s="9"/>
      <c r="AV76" s="9"/>
      <c r="AW76" s="9"/>
      <c r="AX76" s="9"/>
      <c r="AY76" s="9"/>
      <c r="AZ76" s="9"/>
      <c r="BA76" s="9"/>
      <c r="BB76" s="9"/>
      <c r="BC76" s="9"/>
      <c r="BD76" s="9"/>
      <c r="BE76" s="130"/>
      <c r="BF76" s="9"/>
      <c r="BG76" s="9"/>
      <c r="BH76" s="9"/>
      <c r="BI76" s="9"/>
      <c r="BJ76" s="9"/>
      <c r="BK76" s="9"/>
      <c r="BL76" s="9"/>
      <c r="BM76" s="9"/>
      <c r="BN76" s="9"/>
      <c r="BO76" s="9"/>
      <c r="BP76" s="9"/>
      <c r="BQ76" s="9"/>
      <c r="BR76" s="127"/>
      <c r="BS76" s="19"/>
      <c r="BT76" s="19"/>
      <c r="BU76" s="19"/>
      <c r="BV76" s="19"/>
      <c r="BW76" s="19"/>
      <c r="BX76" s="19"/>
      <c r="BY76" s="19"/>
      <c r="BZ76" s="19"/>
      <c r="CA76" s="19"/>
      <c r="CB76" s="19"/>
      <c r="CC76" s="19"/>
      <c r="CD76" s="19"/>
      <c r="CE76" s="19"/>
      <c r="CF76" s="19"/>
      <c r="CG76" s="19"/>
      <c r="CH76" s="19"/>
      <c r="CI76" s="19"/>
      <c r="CJ76" s="19"/>
      <c r="CK76" s="19"/>
      <c r="CL76" s="19"/>
      <c r="CM76" s="19"/>
      <c r="CN76" s="19"/>
      <c r="CO76" s="19"/>
      <c r="CP76" s="19"/>
      <c r="CQ76" s="19"/>
      <c r="CR76" s="19"/>
      <c r="CS76" s="19"/>
      <c r="CT76" s="19"/>
      <c r="CU76" s="19"/>
      <c r="CV76" s="19"/>
      <c r="CW76" s="19"/>
      <c r="CX76" s="19"/>
      <c r="CY76" s="19"/>
      <c r="CZ76" s="19"/>
      <c r="DA76" s="19"/>
      <c r="DB76" s="19"/>
      <c r="DO76" s="1">
        <f t="shared" si="7"/>
        <v>0</v>
      </c>
      <c r="DP76" s="526"/>
    </row>
    <row r="77" spans="1:120" s="1" customFormat="1" ht="25.9" customHeight="1" x14ac:dyDescent="0.2">
      <c r="A77" s="6" t="s">
        <v>850</v>
      </c>
      <c r="B77" s="33" t="s">
        <v>57</v>
      </c>
      <c r="C77" s="1" t="s">
        <v>851</v>
      </c>
      <c r="D77" s="57" t="s">
        <v>852</v>
      </c>
      <c r="E77" s="1" t="s">
        <v>412</v>
      </c>
      <c r="F77" s="33" t="s">
        <v>49</v>
      </c>
      <c r="G77" s="33" t="s">
        <v>315</v>
      </c>
      <c r="H77" s="1" t="s">
        <v>563</v>
      </c>
      <c r="I77" s="115">
        <v>42948</v>
      </c>
      <c r="J77" s="115">
        <v>44044</v>
      </c>
      <c r="K77" s="1">
        <v>379027</v>
      </c>
      <c r="L77" s="1">
        <v>1073895.8600000006</v>
      </c>
      <c r="M77" s="1">
        <f t="shared" si="8"/>
        <v>0</v>
      </c>
      <c r="P77" s="1">
        <f t="shared" si="9"/>
        <v>0</v>
      </c>
      <c r="S77" s="1">
        <f t="shared" si="10"/>
        <v>0</v>
      </c>
      <c r="U77" s="1">
        <v>-694868.86000000057</v>
      </c>
      <c r="X77" s="1" t="s">
        <v>52</v>
      </c>
      <c r="Y77" s="1">
        <v>0</v>
      </c>
      <c r="Z77" s="1">
        <v>0</v>
      </c>
      <c r="AA77" s="1" t="s">
        <v>53</v>
      </c>
      <c r="AB77" s="1" t="s">
        <v>53</v>
      </c>
      <c r="AC77" s="1" t="s">
        <v>53</v>
      </c>
      <c r="AD77" s="1" t="s">
        <v>524</v>
      </c>
      <c r="AE77" s="1" t="s">
        <v>853</v>
      </c>
      <c r="AF77" s="7">
        <v>25219.29</v>
      </c>
      <c r="AG77" s="7">
        <v>25219.29</v>
      </c>
      <c r="AH77" s="7">
        <v>25219.29</v>
      </c>
      <c r="AI77" s="7">
        <v>25219.29</v>
      </c>
      <c r="AJ77" s="7">
        <v>25219.29</v>
      </c>
      <c r="AK77" s="7">
        <v>25219.29</v>
      </c>
      <c r="AL77" s="7">
        <v>25219.29</v>
      </c>
      <c r="AM77" s="7"/>
      <c r="AN77" s="7"/>
      <c r="AO77" s="7"/>
      <c r="AP77" s="7"/>
      <c r="AQ77" s="7"/>
      <c r="AR77" s="130"/>
      <c r="AS77" s="9"/>
      <c r="AT77" s="9"/>
      <c r="AU77" s="9"/>
      <c r="AV77" s="9"/>
      <c r="AW77" s="9"/>
      <c r="AX77" s="9"/>
      <c r="AY77" s="9"/>
      <c r="AZ77" s="9"/>
      <c r="BA77" s="9"/>
      <c r="BB77" s="9"/>
      <c r="BC77" s="9"/>
      <c r="BD77" s="9"/>
      <c r="BE77" s="130"/>
      <c r="BF77" s="9"/>
      <c r="BG77" s="9"/>
      <c r="BH77" s="9"/>
      <c r="BI77" s="9"/>
      <c r="BJ77" s="9"/>
      <c r="BK77" s="9"/>
      <c r="BL77" s="9"/>
      <c r="BM77" s="9"/>
      <c r="BN77" s="9"/>
      <c r="BO77" s="9"/>
      <c r="BP77" s="9"/>
      <c r="BQ77" s="9"/>
      <c r="BR77" s="127"/>
      <c r="BS77" s="19"/>
      <c r="BT77" s="19"/>
      <c r="BU77" s="19"/>
      <c r="BV77" s="19"/>
      <c r="BW77" s="19"/>
      <c r="BX77" s="19"/>
      <c r="BY77" s="19"/>
      <c r="BZ77" s="19"/>
      <c r="CA77" s="19"/>
      <c r="CB77" s="19"/>
      <c r="CC77" s="19"/>
      <c r="CD77" s="19"/>
      <c r="CE77" s="19"/>
      <c r="CF77" s="19"/>
      <c r="CG77" s="19"/>
      <c r="CH77" s="19"/>
      <c r="CI77" s="19"/>
      <c r="CJ77" s="19"/>
      <c r="CK77" s="19"/>
      <c r="CL77" s="19"/>
      <c r="CM77" s="19"/>
      <c r="CN77" s="19"/>
      <c r="CO77" s="19"/>
      <c r="CP77" s="19"/>
      <c r="CQ77" s="19"/>
      <c r="CR77" s="19"/>
      <c r="CS77" s="19"/>
      <c r="CT77" s="19"/>
      <c r="CU77" s="19"/>
      <c r="CV77" s="19"/>
      <c r="CW77" s="19"/>
      <c r="CX77" s="19"/>
      <c r="CY77" s="19"/>
      <c r="CZ77" s="19"/>
      <c r="DA77" s="19"/>
      <c r="DB77" s="19"/>
      <c r="DO77" s="1">
        <f t="shared" si="7"/>
        <v>0</v>
      </c>
      <c r="DP77" s="526"/>
    </row>
    <row r="78" spans="1:120" s="1" customFormat="1" ht="25.9" customHeight="1" x14ac:dyDescent="0.2">
      <c r="A78" s="6" t="s">
        <v>854</v>
      </c>
      <c r="B78" s="33" t="s">
        <v>57</v>
      </c>
      <c r="C78" s="1" t="s">
        <v>855</v>
      </c>
      <c r="D78" s="1" t="s">
        <v>856</v>
      </c>
      <c r="E78" s="1" t="s">
        <v>752</v>
      </c>
      <c r="F78" s="33" t="s">
        <v>49</v>
      </c>
      <c r="G78" s="33" t="s">
        <v>315</v>
      </c>
      <c r="H78" s="1" t="s">
        <v>563</v>
      </c>
      <c r="I78" s="115">
        <v>42306</v>
      </c>
      <c r="J78" s="115">
        <v>42398</v>
      </c>
      <c r="K78" s="1">
        <v>325000</v>
      </c>
      <c r="L78" s="1">
        <v>491957.38</v>
      </c>
      <c r="M78" s="1">
        <f t="shared" si="8"/>
        <v>0</v>
      </c>
      <c r="P78" s="1">
        <f t="shared" si="9"/>
        <v>0</v>
      </c>
      <c r="S78" s="1">
        <f t="shared" si="10"/>
        <v>0</v>
      </c>
      <c r="U78" s="1">
        <v>-166957.38</v>
      </c>
      <c r="X78" s="1" t="s">
        <v>517</v>
      </c>
      <c r="Y78" s="1">
        <v>0</v>
      </c>
      <c r="Z78" s="1">
        <v>0</v>
      </c>
      <c r="AA78" s="1" t="s">
        <v>53</v>
      </c>
      <c r="AB78" s="1" t="s">
        <v>530</v>
      </c>
      <c r="AC78" s="1" t="s">
        <v>53</v>
      </c>
      <c r="AD78" s="1" t="s">
        <v>524</v>
      </c>
      <c r="AE78" s="1" t="s">
        <v>857</v>
      </c>
      <c r="AF78" s="7"/>
      <c r="AG78" s="7"/>
      <c r="AH78" s="7"/>
      <c r="AI78" s="7"/>
      <c r="AJ78" s="7"/>
      <c r="AK78" s="7"/>
      <c r="AL78" s="7"/>
      <c r="AM78" s="7"/>
      <c r="AN78" s="7"/>
      <c r="AO78" s="7"/>
      <c r="AP78" s="7"/>
      <c r="AQ78" s="7"/>
      <c r="AR78" s="130"/>
      <c r="AS78" s="9"/>
      <c r="AT78" s="9"/>
      <c r="AU78" s="9"/>
      <c r="AV78" s="9"/>
      <c r="AW78" s="9"/>
      <c r="AX78" s="9"/>
      <c r="AY78" s="9"/>
      <c r="AZ78" s="9"/>
      <c r="BA78" s="9"/>
      <c r="BB78" s="9"/>
      <c r="BC78" s="9"/>
      <c r="BD78" s="9"/>
      <c r="BE78" s="130"/>
      <c r="BF78" s="9"/>
      <c r="BG78" s="9"/>
      <c r="BH78" s="9"/>
      <c r="BI78" s="9"/>
      <c r="BJ78" s="9"/>
      <c r="BK78" s="9"/>
      <c r="BL78" s="9"/>
      <c r="BM78" s="9"/>
      <c r="BN78" s="9"/>
      <c r="BO78" s="9"/>
      <c r="BP78" s="9"/>
      <c r="BQ78" s="9"/>
      <c r="BR78" s="127"/>
      <c r="BS78" s="19"/>
      <c r="BT78" s="19"/>
      <c r="BU78" s="19"/>
      <c r="BV78" s="19"/>
      <c r="BW78" s="19"/>
      <c r="BX78" s="19"/>
      <c r="BY78" s="19"/>
      <c r="BZ78" s="19"/>
      <c r="CA78" s="19"/>
      <c r="CB78" s="19"/>
      <c r="CC78" s="19"/>
      <c r="CD78" s="19"/>
      <c r="CE78" s="19"/>
      <c r="CF78" s="19"/>
      <c r="CG78" s="19"/>
      <c r="CH78" s="19"/>
      <c r="CI78" s="19"/>
      <c r="CJ78" s="19"/>
      <c r="CK78" s="19"/>
      <c r="CL78" s="19"/>
      <c r="CM78" s="19"/>
      <c r="CN78" s="19"/>
      <c r="CO78" s="19"/>
      <c r="CP78" s="19"/>
      <c r="CQ78" s="19"/>
      <c r="CR78" s="19"/>
      <c r="CS78" s="19"/>
      <c r="CT78" s="19"/>
      <c r="CU78" s="19"/>
      <c r="CV78" s="19"/>
      <c r="CW78" s="19"/>
      <c r="CX78" s="19"/>
      <c r="CY78" s="19"/>
      <c r="CZ78" s="19"/>
      <c r="DA78" s="19"/>
      <c r="DB78" s="19"/>
      <c r="DO78" s="1">
        <f t="shared" si="7"/>
        <v>0</v>
      </c>
      <c r="DP78" s="526"/>
    </row>
    <row r="79" spans="1:120" s="1" customFormat="1" ht="25.9" customHeight="1" x14ac:dyDescent="0.2">
      <c r="A79" s="6" t="s">
        <v>858</v>
      </c>
      <c r="B79" s="33" t="s">
        <v>57</v>
      </c>
      <c r="C79" s="1" t="s">
        <v>859</v>
      </c>
      <c r="D79" s="1" t="s">
        <v>860</v>
      </c>
      <c r="E79" s="1" t="s">
        <v>861</v>
      </c>
      <c r="F79" s="33" t="s">
        <v>49</v>
      </c>
      <c r="G79" s="33" t="s">
        <v>315</v>
      </c>
      <c r="H79" s="1" t="s">
        <v>563</v>
      </c>
      <c r="I79" s="115">
        <v>42250</v>
      </c>
      <c r="J79" s="115">
        <v>42341</v>
      </c>
      <c r="K79" s="1" t="s">
        <v>583</v>
      </c>
      <c r="L79" s="1">
        <v>1113713.79</v>
      </c>
      <c r="M79" s="1">
        <f t="shared" si="8"/>
        <v>0</v>
      </c>
      <c r="P79" s="1">
        <f t="shared" si="9"/>
        <v>0</v>
      </c>
      <c r="S79" s="1">
        <f t="shared" si="10"/>
        <v>0</v>
      </c>
      <c r="X79" s="1" t="s">
        <v>517</v>
      </c>
      <c r="Y79" s="1">
        <v>0</v>
      </c>
      <c r="Z79" s="1">
        <v>0</v>
      </c>
      <c r="AA79" s="1" t="s">
        <v>53</v>
      </c>
      <c r="AB79" s="1" t="s">
        <v>530</v>
      </c>
      <c r="AC79" s="1" t="s">
        <v>53</v>
      </c>
      <c r="AD79" s="1" t="s">
        <v>524</v>
      </c>
      <c r="AE79" s="1" t="s">
        <v>862</v>
      </c>
      <c r="AF79" s="7"/>
      <c r="AG79" s="7"/>
      <c r="AH79" s="7"/>
      <c r="AI79" s="7"/>
      <c r="AJ79" s="7"/>
      <c r="AK79" s="7"/>
      <c r="AL79" s="7"/>
      <c r="AM79" s="7"/>
      <c r="AN79" s="7"/>
      <c r="AO79" s="7"/>
      <c r="AP79" s="7"/>
      <c r="AQ79" s="7"/>
      <c r="AR79" s="130"/>
      <c r="AS79" s="9"/>
      <c r="AT79" s="9"/>
      <c r="AU79" s="9"/>
      <c r="AV79" s="9"/>
      <c r="AW79" s="9"/>
      <c r="AX79" s="9"/>
      <c r="AY79" s="9"/>
      <c r="AZ79" s="9"/>
      <c r="BA79" s="9"/>
      <c r="BB79" s="9"/>
      <c r="BC79" s="9"/>
      <c r="BD79" s="9"/>
      <c r="BE79" s="130"/>
      <c r="BF79" s="9"/>
      <c r="BG79" s="9"/>
      <c r="BH79" s="9"/>
      <c r="BI79" s="9"/>
      <c r="BJ79" s="9"/>
      <c r="BK79" s="9"/>
      <c r="BL79" s="9"/>
      <c r="BM79" s="9"/>
      <c r="BN79" s="9"/>
      <c r="BO79" s="9"/>
      <c r="BP79" s="9"/>
      <c r="BQ79" s="9"/>
      <c r="BR79" s="127"/>
      <c r="BS79" s="19"/>
      <c r="BT79" s="19"/>
      <c r="BU79" s="19"/>
      <c r="BV79" s="19"/>
      <c r="BW79" s="19"/>
      <c r="BX79" s="19"/>
      <c r="BY79" s="19"/>
      <c r="BZ79" s="19"/>
      <c r="CA79" s="19"/>
      <c r="CB79" s="19"/>
      <c r="CC79" s="19"/>
      <c r="CD79" s="19"/>
      <c r="CE79" s="19"/>
      <c r="CF79" s="19"/>
      <c r="CG79" s="19"/>
      <c r="CH79" s="19"/>
      <c r="CI79" s="19"/>
      <c r="CJ79" s="19"/>
      <c r="CK79" s="19"/>
      <c r="CL79" s="19"/>
      <c r="CM79" s="19"/>
      <c r="CN79" s="19"/>
      <c r="CO79" s="19"/>
      <c r="CP79" s="19"/>
      <c r="CQ79" s="19"/>
      <c r="CR79" s="19"/>
      <c r="CS79" s="19"/>
      <c r="CT79" s="19"/>
      <c r="CU79" s="19"/>
      <c r="CV79" s="19"/>
      <c r="CW79" s="19"/>
      <c r="CX79" s="19"/>
      <c r="CY79" s="19"/>
      <c r="CZ79" s="19"/>
      <c r="DA79" s="19"/>
      <c r="DB79" s="19"/>
      <c r="DO79" s="1">
        <f t="shared" si="7"/>
        <v>0</v>
      </c>
      <c r="DP79" s="526"/>
    </row>
    <row r="80" spans="1:120" s="1" customFormat="1" ht="25.9" customHeight="1" x14ac:dyDescent="0.2">
      <c r="A80" s="6" t="s">
        <v>863</v>
      </c>
      <c r="B80" s="33" t="s">
        <v>57</v>
      </c>
      <c r="C80" s="1" t="s">
        <v>864</v>
      </c>
      <c r="D80" s="1" t="s">
        <v>860</v>
      </c>
      <c r="E80" s="1" t="s">
        <v>861</v>
      </c>
      <c r="F80" s="33" t="s">
        <v>49</v>
      </c>
      <c r="G80" s="33" t="s">
        <v>315</v>
      </c>
      <c r="H80" s="1" t="s">
        <v>563</v>
      </c>
      <c r="I80" s="115">
        <v>42306</v>
      </c>
      <c r="J80" s="115">
        <v>42398</v>
      </c>
      <c r="K80" s="1">
        <v>245000</v>
      </c>
      <c r="L80" s="1">
        <v>213814.36</v>
      </c>
      <c r="M80" s="1">
        <f t="shared" si="8"/>
        <v>0</v>
      </c>
      <c r="P80" s="1">
        <f t="shared" si="9"/>
        <v>0</v>
      </c>
      <c r="S80" s="1">
        <f t="shared" si="10"/>
        <v>0</v>
      </c>
      <c r="U80" s="1">
        <v>31185.640000000014</v>
      </c>
      <c r="X80" s="1" t="s">
        <v>517</v>
      </c>
      <c r="Y80" s="1">
        <v>0</v>
      </c>
      <c r="Z80" s="1">
        <v>0</v>
      </c>
      <c r="AA80" s="1" t="s">
        <v>53</v>
      </c>
      <c r="AB80" s="1" t="s">
        <v>530</v>
      </c>
      <c r="AC80" s="1" t="s">
        <v>53</v>
      </c>
      <c r="AD80" s="1" t="s">
        <v>524</v>
      </c>
      <c r="AE80" s="1" t="s">
        <v>865</v>
      </c>
      <c r="AF80" s="7"/>
      <c r="AG80" s="7"/>
      <c r="AH80" s="7"/>
      <c r="AI80" s="7"/>
      <c r="AJ80" s="7"/>
      <c r="AK80" s="7"/>
      <c r="AL80" s="7"/>
      <c r="AM80" s="7"/>
      <c r="AN80" s="7"/>
      <c r="AO80" s="7"/>
      <c r="AP80" s="7"/>
      <c r="AQ80" s="7"/>
      <c r="AR80" s="130"/>
      <c r="AS80" s="9"/>
      <c r="AT80" s="9"/>
      <c r="AU80" s="9"/>
      <c r="AV80" s="9"/>
      <c r="AW80" s="9"/>
      <c r="AX80" s="9"/>
      <c r="AY80" s="9"/>
      <c r="AZ80" s="9"/>
      <c r="BA80" s="9"/>
      <c r="BB80" s="9"/>
      <c r="BC80" s="9"/>
      <c r="BD80" s="9"/>
      <c r="BE80" s="130"/>
      <c r="BF80" s="9"/>
      <c r="BG80" s="9"/>
      <c r="BH80" s="9"/>
      <c r="BI80" s="9"/>
      <c r="BJ80" s="9"/>
      <c r="BK80" s="9"/>
      <c r="BL80" s="9"/>
      <c r="BM80" s="9"/>
      <c r="BN80" s="9"/>
      <c r="BO80" s="9"/>
      <c r="BP80" s="9"/>
      <c r="BQ80" s="9"/>
      <c r="BR80" s="127"/>
      <c r="BS80" s="19"/>
      <c r="BT80" s="19"/>
      <c r="BU80" s="19"/>
      <c r="BV80" s="19"/>
      <c r="BW80" s="19"/>
      <c r="BX80" s="19"/>
      <c r="BY80" s="19"/>
      <c r="BZ80" s="19"/>
      <c r="CA80" s="19"/>
      <c r="CB80" s="19"/>
      <c r="CC80" s="19"/>
      <c r="CD80" s="19"/>
      <c r="CE80" s="19"/>
      <c r="CF80" s="19"/>
      <c r="CG80" s="19"/>
      <c r="CH80" s="19"/>
      <c r="CI80" s="19"/>
      <c r="CJ80" s="19"/>
      <c r="CK80" s="19"/>
      <c r="CL80" s="19"/>
      <c r="CM80" s="19"/>
      <c r="CN80" s="19"/>
      <c r="CO80" s="19"/>
      <c r="CP80" s="19"/>
      <c r="CQ80" s="19"/>
      <c r="CR80" s="19"/>
      <c r="CS80" s="19"/>
      <c r="CT80" s="19"/>
      <c r="CU80" s="19"/>
      <c r="CV80" s="19"/>
      <c r="CW80" s="19"/>
      <c r="CX80" s="19"/>
      <c r="CY80" s="19"/>
      <c r="CZ80" s="19"/>
      <c r="DA80" s="19"/>
      <c r="DB80" s="19"/>
      <c r="DO80" s="1">
        <f t="shared" si="7"/>
        <v>0</v>
      </c>
      <c r="DP80" s="526"/>
    </row>
    <row r="81" spans="1:120" s="1" customFormat="1" ht="25.9" customHeight="1" x14ac:dyDescent="0.2">
      <c r="A81" s="6" t="s">
        <v>866</v>
      </c>
      <c r="B81" s="33" t="s">
        <v>57</v>
      </c>
      <c r="C81" s="1" t="s">
        <v>867</v>
      </c>
      <c r="D81" s="1" t="s">
        <v>868</v>
      </c>
      <c r="E81" s="1" t="s">
        <v>869</v>
      </c>
      <c r="F81" s="33" t="s">
        <v>49</v>
      </c>
      <c r="G81" s="33" t="s">
        <v>315</v>
      </c>
      <c r="H81" s="1" t="s">
        <v>563</v>
      </c>
      <c r="I81" s="115">
        <v>42306</v>
      </c>
      <c r="J81" s="115">
        <v>42398</v>
      </c>
      <c r="K81" s="1">
        <v>300000</v>
      </c>
      <c r="L81" s="1">
        <v>300000</v>
      </c>
      <c r="M81" s="1">
        <f t="shared" si="8"/>
        <v>0</v>
      </c>
      <c r="P81" s="1">
        <f t="shared" si="9"/>
        <v>0</v>
      </c>
      <c r="S81" s="1">
        <f t="shared" si="10"/>
        <v>0</v>
      </c>
      <c r="U81" s="1">
        <v>0</v>
      </c>
      <c r="X81" s="1" t="s">
        <v>517</v>
      </c>
      <c r="Y81" s="1">
        <v>0</v>
      </c>
      <c r="Z81" s="1">
        <v>0</v>
      </c>
      <c r="AA81" s="1" t="s">
        <v>53</v>
      </c>
      <c r="AB81" s="1" t="s">
        <v>530</v>
      </c>
      <c r="AC81" s="1" t="s">
        <v>53</v>
      </c>
      <c r="AD81" s="1" t="s">
        <v>524</v>
      </c>
      <c r="AE81" s="1" t="s">
        <v>870</v>
      </c>
      <c r="AF81" s="7"/>
      <c r="AG81" s="7"/>
      <c r="AH81" s="7"/>
      <c r="AI81" s="7"/>
      <c r="AJ81" s="7"/>
      <c r="AK81" s="7"/>
      <c r="AL81" s="7"/>
      <c r="AM81" s="7"/>
      <c r="AN81" s="7"/>
      <c r="AO81" s="7"/>
      <c r="AP81" s="7"/>
      <c r="AQ81" s="7"/>
      <c r="AR81" s="130"/>
      <c r="AS81" s="9"/>
      <c r="AT81" s="9"/>
      <c r="AU81" s="9"/>
      <c r="AV81" s="9"/>
      <c r="AW81" s="9"/>
      <c r="AX81" s="9"/>
      <c r="AY81" s="9"/>
      <c r="AZ81" s="9"/>
      <c r="BA81" s="9"/>
      <c r="BB81" s="9"/>
      <c r="BC81" s="9"/>
      <c r="BD81" s="9"/>
      <c r="BE81" s="130"/>
      <c r="BF81" s="9"/>
      <c r="BG81" s="9"/>
      <c r="BH81" s="9"/>
      <c r="BI81" s="9"/>
      <c r="BJ81" s="9"/>
      <c r="BK81" s="9"/>
      <c r="BL81" s="9"/>
      <c r="BM81" s="9"/>
      <c r="BN81" s="9"/>
      <c r="BO81" s="9"/>
      <c r="BP81" s="9"/>
      <c r="BQ81" s="9"/>
      <c r="BR81" s="127"/>
      <c r="BS81" s="19"/>
      <c r="BT81" s="19"/>
      <c r="BU81" s="19"/>
      <c r="BV81" s="19"/>
      <c r="BW81" s="19"/>
      <c r="BX81" s="19"/>
      <c r="BY81" s="19"/>
      <c r="BZ81" s="19"/>
      <c r="CA81" s="19"/>
      <c r="CB81" s="19"/>
      <c r="CC81" s="19"/>
      <c r="CD81" s="19"/>
      <c r="CE81" s="19"/>
      <c r="CF81" s="19"/>
      <c r="CG81" s="19"/>
      <c r="CH81" s="19"/>
      <c r="CI81" s="19"/>
      <c r="CJ81" s="19"/>
      <c r="CK81" s="19"/>
      <c r="CL81" s="19"/>
      <c r="CM81" s="19"/>
      <c r="CN81" s="19"/>
      <c r="CO81" s="19"/>
      <c r="CP81" s="19"/>
      <c r="CQ81" s="19"/>
      <c r="CR81" s="19"/>
      <c r="CS81" s="19"/>
      <c r="CT81" s="19"/>
      <c r="CU81" s="19"/>
      <c r="CV81" s="19"/>
      <c r="CW81" s="19"/>
      <c r="CX81" s="19"/>
      <c r="CY81" s="19"/>
      <c r="CZ81" s="19"/>
      <c r="DA81" s="19"/>
      <c r="DB81" s="19"/>
      <c r="DO81" s="1">
        <f t="shared" si="7"/>
        <v>0</v>
      </c>
      <c r="DP81" s="526"/>
    </row>
    <row r="82" spans="1:120" s="1" customFormat="1" ht="25.9" customHeight="1" x14ac:dyDescent="0.2">
      <c r="A82" s="6" t="s">
        <v>871</v>
      </c>
      <c r="B82" s="33" t="s">
        <v>57</v>
      </c>
      <c r="C82" s="1" t="s">
        <v>872</v>
      </c>
      <c r="D82" s="1" t="s">
        <v>840</v>
      </c>
      <c r="E82" s="1" t="s">
        <v>79</v>
      </c>
      <c r="F82" s="33" t="s">
        <v>49</v>
      </c>
      <c r="G82" s="33" t="s">
        <v>315</v>
      </c>
      <c r="H82" s="1" t="s">
        <v>563</v>
      </c>
      <c r="I82" s="115">
        <v>42249</v>
      </c>
      <c r="J82" s="115">
        <v>42340</v>
      </c>
      <c r="K82" s="1">
        <v>277200</v>
      </c>
      <c r="L82" s="1">
        <v>148993.83000000002</v>
      </c>
      <c r="M82" s="1">
        <f t="shared" si="8"/>
        <v>0</v>
      </c>
      <c r="P82" s="1">
        <f t="shared" si="9"/>
        <v>0</v>
      </c>
      <c r="S82" s="1">
        <f t="shared" si="10"/>
        <v>0</v>
      </c>
      <c r="U82" s="1">
        <v>128206.16999999998</v>
      </c>
      <c r="X82" s="1" t="s">
        <v>517</v>
      </c>
      <c r="Y82" s="1">
        <v>0</v>
      </c>
      <c r="Z82" s="1">
        <v>0</v>
      </c>
      <c r="AA82" s="1" t="s">
        <v>53</v>
      </c>
      <c r="AB82" s="1" t="s">
        <v>530</v>
      </c>
      <c r="AC82" s="1" t="s">
        <v>53</v>
      </c>
      <c r="AD82" s="1" t="s">
        <v>524</v>
      </c>
      <c r="AE82" s="1" t="s">
        <v>873</v>
      </c>
      <c r="AF82" s="11"/>
      <c r="AG82" s="11"/>
      <c r="AH82" s="11"/>
      <c r="AI82" s="11"/>
      <c r="AJ82" s="11"/>
      <c r="AK82" s="11"/>
      <c r="AL82" s="11"/>
      <c r="AM82" s="11"/>
      <c r="AN82" s="11"/>
      <c r="AO82" s="11"/>
      <c r="AP82" s="11"/>
      <c r="AQ82" s="11"/>
      <c r="AR82" s="130"/>
      <c r="AS82" s="11"/>
      <c r="AT82" s="11"/>
      <c r="AU82" s="11"/>
      <c r="AV82" s="11"/>
      <c r="AW82" s="11"/>
      <c r="AX82" s="11"/>
      <c r="AY82" s="11"/>
      <c r="AZ82" s="11"/>
      <c r="BA82" s="11"/>
      <c r="BB82" s="11"/>
      <c r="BC82" s="11"/>
      <c r="BD82" s="11"/>
      <c r="BE82" s="130"/>
      <c r="BF82" s="11"/>
      <c r="BG82" s="11"/>
      <c r="BH82" s="11"/>
      <c r="BI82" s="11"/>
      <c r="BJ82" s="11"/>
      <c r="BK82" s="11"/>
      <c r="BL82" s="11"/>
      <c r="BM82" s="11"/>
      <c r="BN82" s="11"/>
      <c r="BO82" s="11"/>
      <c r="BP82" s="11"/>
      <c r="BQ82" s="11"/>
      <c r="BR82" s="127"/>
      <c r="BS82" s="19"/>
      <c r="BT82" s="19"/>
      <c r="BU82" s="19"/>
      <c r="BV82" s="19"/>
      <c r="BW82" s="19"/>
      <c r="BX82" s="19"/>
      <c r="BY82" s="19"/>
      <c r="BZ82" s="19"/>
      <c r="CA82" s="19"/>
      <c r="CB82" s="19"/>
      <c r="CC82" s="19"/>
      <c r="CD82" s="19"/>
      <c r="CE82" s="19"/>
      <c r="CF82" s="19"/>
      <c r="CG82" s="19"/>
      <c r="CH82" s="19"/>
      <c r="CI82" s="19"/>
      <c r="CJ82" s="19"/>
      <c r="CK82" s="19"/>
      <c r="CL82" s="19"/>
      <c r="CM82" s="19"/>
      <c r="CN82" s="19"/>
      <c r="CO82" s="19"/>
      <c r="CP82" s="19"/>
      <c r="CQ82" s="19"/>
      <c r="CR82" s="19"/>
      <c r="CS82" s="19"/>
      <c r="CT82" s="19"/>
      <c r="CU82" s="19"/>
      <c r="CV82" s="19"/>
      <c r="CW82" s="19"/>
      <c r="CX82" s="19"/>
      <c r="CY82" s="19"/>
      <c r="CZ82" s="19"/>
      <c r="DA82" s="19"/>
      <c r="DB82" s="19"/>
      <c r="DO82" s="1">
        <f t="shared" si="7"/>
        <v>0</v>
      </c>
      <c r="DP82" s="526"/>
    </row>
    <row r="83" spans="1:120" s="1" customFormat="1" ht="25.9" customHeight="1" x14ac:dyDescent="0.2">
      <c r="A83" s="6" t="s">
        <v>874</v>
      </c>
      <c r="B83" s="33" t="s">
        <v>57</v>
      </c>
      <c r="C83" s="118" t="s">
        <v>875</v>
      </c>
      <c r="D83" s="1" t="s">
        <v>876</v>
      </c>
      <c r="E83" s="1" t="s">
        <v>877</v>
      </c>
      <c r="F83" s="33" t="s">
        <v>49</v>
      </c>
      <c r="G83" s="33" t="s">
        <v>111</v>
      </c>
      <c r="H83" s="1" t="s">
        <v>322</v>
      </c>
      <c r="I83" s="115">
        <v>42319</v>
      </c>
      <c r="J83" s="115">
        <v>43415</v>
      </c>
      <c r="K83" s="1">
        <v>17145598.84</v>
      </c>
      <c r="L83" s="1">
        <v>13348106.440000001</v>
      </c>
      <c r="M83" s="1">
        <f t="shared" si="8"/>
        <v>0</v>
      </c>
      <c r="P83" s="1">
        <f t="shared" si="9"/>
        <v>0</v>
      </c>
      <c r="S83" s="1">
        <f t="shared" si="10"/>
        <v>0</v>
      </c>
      <c r="U83" s="1">
        <v>3797492.3999999985</v>
      </c>
      <c r="X83" s="1" t="s">
        <v>52</v>
      </c>
      <c r="Y83" s="1">
        <v>0</v>
      </c>
      <c r="Z83" s="1">
        <v>0</v>
      </c>
      <c r="AA83" s="1" t="s">
        <v>53</v>
      </c>
      <c r="AB83" s="1" t="s">
        <v>53</v>
      </c>
      <c r="AC83" s="1" t="s">
        <v>53</v>
      </c>
      <c r="AD83" s="1" t="s">
        <v>524</v>
      </c>
      <c r="AE83" s="1" t="s">
        <v>878</v>
      </c>
      <c r="AF83" s="11"/>
      <c r="AG83" s="11"/>
      <c r="AH83" s="11"/>
      <c r="AI83" s="11"/>
      <c r="AJ83" s="11"/>
      <c r="AK83" s="11"/>
      <c r="AL83" s="11"/>
      <c r="AM83" s="11"/>
      <c r="AN83" s="11"/>
      <c r="AO83" s="11"/>
      <c r="AP83" s="11"/>
      <c r="AQ83" s="11"/>
      <c r="AR83" s="130"/>
      <c r="AS83" s="11"/>
      <c r="AT83" s="11"/>
      <c r="AU83" s="11"/>
      <c r="AV83" s="11"/>
      <c r="AW83" s="11"/>
      <c r="AX83" s="11"/>
      <c r="AY83" s="11"/>
      <c r="AZ83" s="11"/>
      <c r="BA83" s="11"/>
      <c r="BB83" s="11"/>
      <c r="BC83" s="11"/>
      <c r="BD83" s="11"/>
      <c r="BE83" s="130"/>
      <c r="BF83" s="11"/>
      <c r="BG83" s="11"/>
      <c r="BH83" s="11"/>
      <c r="BI83" s="11"/>
      <c r="BJ83" s="11"/>
      <c r="BK83" s="11"/>
      <c r="BL83" s="11"/>
      <c r="BM83" s="11"/>
      <c r="BN83" s="11"/>
      <c r="BO83" s="11"/>
      <c r="BP83" s="11"/>
      <c r="BQ83" s="11"/>
      <c r="BR83" s="111"/>
      <c r="BS83" s="19"/>
      <c r="BT83" s="19"/>
      <c r="BU83" s="19"/>
      <c r="BV83" s="19"/>
      <c r="BW83" s="19"/>
      <c r="BX83" s="19"/>
      <c r="BY83" s="19"/>
      <c r="BZ83" s="19"/>
      <c r="CA83" s="19"/>
      <c r="CB83" s="19"/>
      <c r="CC83" s="19"/>
      <c r="CD83" s="19"/>
      <c r="CE83" s="19"/>
      <c r="CF83" s="19"/>
      <c r="CG83" s="19"/>
      <c r="CH83" s="19"/>
      <c r="CI83" s="19"/>
      <c r="CJ83" s="19"/>
      <c r="CK83" s="19"/>
      <c r="CL83" s="19"/>
      <c r="CM83" s="19"/>
      <c r="CN83" s="19"/>
      <c r="CO83" s="19"/>
      <c r="CP83" s="19"/>
      <c r="CQ83" s="19"/>
      <c r="CR83" s="19"/>
      <c r="CS83" s="19"/>
      <c r="CT83" s="19"/>
      <c r="CU83" s="19"/>
      <c r="CV83" s="19"/>
      <c r="CW83" s="19"/>
      <c r="CX83" s="19"/>
      <c r="CY83" s="19"/>
      <c r="CZ83" s="19"/>
      <c r="DA83" s="19"/>
      <c r="DB83" s="19"/>
      <c r="DO83" s="1">
        <f t="shared" si="7"/>
        <v>0</v>
      </c>
      <c r="DP83" s="526"/>
    </row>
    <row r="84" spans="1:120" s="1" customFormat="1" ht="25.9" customHeight="1" x14ac:dyDescent="0.2">
      <c r="A84" s="6" t="s">
        <v>879</v>
      </c>
      <c r="B84" s="33" t="s">
        <v>57</v>
      </c>
      <c r="C84" s="1" t="s">
        <v>880</v>
      </c>
      <c r="D84" s="1" t="s">
        <v>762</v>
      </c>
      <c r="E84" s="1" t="s">
        <v>179</v>
      </c>
      <c r="F84" s="33" t="s">
        <v>49</v>
      </c>
      <c r="G84" s="33" t="s">
        <v>315</v>
      </c>
      <c r="H84" s="1" t="s">
        <v>563</v>
      </c>
      <c r="I84" s="115">
        <v>42306</v>
      </c>
      <c r="J84" s="115">
        <v>42398</v>
      </c>
      <c r="K84" s="1">
        <v>266000</v>
      </c>
      <c r="L84" s="1">
        <v>556465.34</v>
      </c>
      <c r="M84" s="1">
        <f t="shared" si="8"/>
        <v>0</v>
      </c>
      <c r="P84" s="1">
        <f t="shared" si="9"/>
        <v>0</v>
      </c>
      <c r="S84" s="1">
        <f t="shared" si="10"/>
        <v>0</v>
      </c>
      <c r="U84" s="1">
        <v>-290465.33999999997</v>
      </c>
      <c r="X84" s="1" t="s">
        <v>517</v>
      </c>
      <c r="Y84" s="1">
        <v>0</v>
      </c>
      <c r="Z84" s="1">
        <v>0</v>
      </c>
      <c r="AA84" s="1" t="s">
        <v>53</v>
      </c>
      <c r="AB84" s="1" t="s">
        <v>530</v>
      </c>
      <c r="AC84" s="1" t="s">
        <v>53</v>
      </c>
      <c r="AD84" s="1" t="s">
        <v>524</v>
      </c>
      <c r="AE84" s="1" t="s">
        <v>881</v>
      </c>
      <c r="AF84" s="11"/>
      <c r="AG84" s="11"/>
      <c r="AH84" s="11"/>
      <c r="AI84" s="11"/>
      <c r="AJ84" s="11"/>
      <c r="AK84" s="11"/>
      <c r="AL84" s="11"/>
      <c r="AM84" s="11"/>
      <c r="AN84" s="11"/>
      <c r="AO84" s="11"/>
      <c r="AP84" s="11"/>
      <c r="AQ84" s="11"/>
      <c r="AR84" s="130"/>
      <c r="AS84" s="11"/>
      <c r="AT84" s="11"/>
      <c r="AU84" s="11"/>
      <c r="AV84" s="11"/>
      <c r="AW84" s="11"/>
      <c r="AX84" s="11"/>
      <c r="AY84" s="11"/>
      <c r="AZ84" s="11"/>
      <c r="BA84" s="11"/>
      <c r="BB84" s="11"/>
      <c r="BC84" s="11"/>
      <c r="BD84" s="11"/>
      <c r="BE84" s="130"/>
      <c r="BF84" s="11"/>
      <c r="BG84" s="11"/>
      <c r="BH84" s="11"/>
      <c r="BI84" s="11"/>
      <c r="BJ84" s="11"/>
      <c r="BK84" s="11"/>
      <c r="BL84" s="11"/>
      <c r="BM84" s="11"/>
      <c r="BN84" s="11"/>
      <c r="BO84" s="11"/>
      <c r="BP84" s="11"/>
      <c r="BQ84" s="11"/>
      <c r="BR84" s="127"/>
      <c r="BS84" s="19"/>
      <c r="BT84" s="19"/>
      <c r="BU84" s="19"/>
      <c r="BV84" s="19"/>
      <c r="BW84" s="19"/>
      <c r="BX84" s="19"/>
      <c r="BY84" s="19"/>
      <c r="BZ84" s="19"/>
      <c r="CA84" s="19"/>
      <c r="CB84" s="19"/>
      <c r="CC84" s="19"/>
      <c r="CD84" s="19"/>
      <c r="CE84" s="19"/>
      <c r="CF84" s="19"/>
      <c r="CG84" s="19"/>
      <c r="CH84" s="19"/>
      <c r="CI84" s="19"/>
      <c r="CJ84" s="19"/>
      <c r="CK84" s="19"/>
      <c r="CL84" s="19"/>
      <c r="CM84" s="19"/>
      <c r="CN84" s="19"/>
      <c r="CO84" s="19"/>
      <c r="CP84" s="19"/>
      <c r="CQ84" s="19"/>
      <c r="CR84" s="19"/>
      <c r="CS84" s="19"/>
      <c r="CT84" s="19"/>
      <c r="CU84" s="19"/>
      <c r="CV84" s="19"/>
      <c r="CW84" s="19"/>
      <c r="CX84" s="19"/>
      <c r="CY84" s="19"/>
      <c r="CZ84" s="19"/>
      <c r="DA84" s="19"/>
      <c r="DB84" s="19"/>
      <c r="DO84" s="1">
        <f t="shared" si="7"/>
        <v>0</v>
      </c>
      <c r="DP84" s="526"/>
    </row>
    <row r="85" spans="1:120" s="1" customFormat="1" ht="25.9" customHeight="1" x14ac:dyDescent="0.2">
      <c r="A85" s="6" t="s">
        <v>882</v>
      </c>
      <c r="B85" s="33" t="s">
        <v>57</v>
      </c>
      <c r="C85" s="1" t="s">
        <v>883</v>
      </c>
      <c r="D85" s="1" t="s">
        <v>884</v>
      </c>
      <c r="E85" s="1" t="s">
        <v>885</v>
      </c>
      <c r="F85" s="33" t="s">
        <v>49</v>
      </c>
      <c r="G85" s="33" t="s">
        <v>315</v>
      </c>
      <c r="H85" s="1" t="s">
        <v>563</v>
      </c>
      <c r="I85" s="115">
        <v>42307</v>
      </c>
      <c r="J85" s="115">
        <v>42399</v>
      </c>
      <c r="K85" s="1">
        <v>208000</v>
      </c>
      <c r="L85" s="1">
        <v>263967.81</v>
      </c>
      <c r="M85" s="1">
        <f t="shared" si="8"/>
        <v>0</v>
      </c>
      <c r="P85" s="1">
        <f t="shared" si="9"/>
        <v>0</v>
      </c>
      <c r="S85" s="1">
        <f t="shared" si="10"/>
        <v>0</v>
      </c>
      <c r="U85" s="1">
        <v>-55967.81</v>
      </c>
      <c r="X85" s="1" t="s">
        <v>517</v>
      </c>
      <c r="Y85" s="1">
        <v>0</v>
      </c>
      <c r="Z85" s="1">
        <v>0</v>
      </c>
      <c r="AA85" s="1" t="s">
        <v>53</v>
      </c>
      <c r="AB85" s="1" t="s">
        <v>530</v>
      </c>
      <c r="AC85" s="1" t="s">
        <v>53</v>
      </c>
      <c r="AD85" s="1" t="s">
        <v>524</v>
      </c>
      <c r="AE85" s="1" t="s">
        <v>886</v>
      </c>
      <c r="AF85" s="11"/>
      <c r="AG85" s="11"/>
      <c r="AH85" s="11"/>
      <c r="AI85" s="11"/>
      <c r="AJ85" s="11"/>
      <c r="AK85" s="11"/>
      <c r="AL85" s="11"/>
      <c r="AM85" s="11"/>
      <c r="AN85" s="11"/>
      <c r="AO85" s="11"/>
      <c r="AP85" s="11"/>
      <c r="AQ85" s="11"/>
      <c r="AR85" s="130"/>
      <c r="AS85" s="11"/>
      <c r="AT85" s="11"/>
      <c r="AU85" s="11"/>
      <c r="AV85" s="11"/>
      <c r="AW85" s="11"/>
      <c r="AX85" s="11"/>
      <c r="AY85" s="11"/>
      <c r="AZ85" s="11"/>
      <c r="BA85" s="11"/>
      <c r="BB85" s="11"/>
      <c r="BC85" s="11"/>
      <c r="BD85" s="11"/>
      <c r="BE85" s="130"/>
      <c r="BF85" s="11"/>
      <c r="BG85" s="11"/>
      <c r="BH85" s="11"/>
      <c r="BI85" s="11"/>
      <c r="BJ85" s="11"/>
      <c r="BK85" s="11"/>
      <c r="BL85" s="11"/>
      <c r="BM85" s="11"/>
      <c r="BN85" s="11"/>
      <c r="BO85" s="11"/>
      <c r="BP85" s="11"/>
      <c r="BQ85" s="11"/>
      <c r="BR85" s="127"/>
      <c r="BS85" s="19"/>
      <c r="BT85" s="19"/>
      <c r="BU85" s="19"/>
      <c r="BV85" s="19"/>
      <c r="BW85" s="19"/>
      <c r="BX85" s="19"/>
      <c r="BY85" s="19"/>
      <c r="BZ85" s="19"/>
      <c r="CA85" s="19"/>
      <c r="CB85" s="19"/>
      <c r="CC85" s="19"/>
      <c r="CD85" s="19"/>
      <c r="CE85" s="19"/>
      <c r="CF85" s="19"/>
      <c r="CG85" s="19"/>
      <c r="CH85" s="19"/>
      <c r="CI85" s="19"/>
      <c r="CJ85" s="19"/>
      <c r="CK85" s="19"/>
      <c r="CL85" s="19"/>
      <c r="CM85" s="19"/>
      <c r="CN85" s="19"/>
      <c r="CO85" s="19"/>
      <c r="CP85" s="19"/>
      <c r="CQ85" s="19"/>
      <c r="CR85" s="19"/>
      <c r="CS85" s="19"/>
      <c r="CT85" s="19"/>
      <c r="CU85" s="19"/>
      <c r="CV85" s="19"/>
      <c r="CW85" s="19"/>
      <c r="CX85" s="19"/>
      <c r="CY85" s="19"/>
      <c r="CZ85" s="19"/>
      <c r="DA85" s="19"/>
      <c r="DB85" s="19"/>
      <c r="DO85" s="1">
        <f t="shared" si="7"/>
        <v>0</v>
      </c>
      <c r="DP85" s="526"/>
    </row>
    <row r="86" spans="1:120" s="1" customFormat="1" ht="25.9" customHeight="1" x14ac:dyDescent="0.2">
      <c r="A86" s="6" t="s">
        <v>887</v>
      </c>
      <c r="B86" s="33" t="s">
        <v>57</v>
      </c>
      <c r="C86" s="1" t="s">
        <v>888</v>
      </c>
      <c r="D86" s="1" t="s">
        <v>889</v>
      </c>
      <c r="E86" s="1" t="s">
        <v>455</v>
      </c>
      <c r="F86" s="33" t="s">
        <v>49</v>
      </c>
      <c r="G86" s="33" t="s">
        <v>315</v>
      </c>
      <c r="H86" s="1" t="s">
        <v>563</v>
      </c>
      <c r="I86" s="115">
        <v>42251</v>
      </c>
      <c r="J86" s="115">
        <v>42342</v>
      </c>
      <c r="K86" s="1">
        <v>240000</v>
      </c>
      <c r="L86" s="1">
        <v>169119.43</v>
      </c>
      <c r="M86" s="1">
        <f t="shared" si="8"/>
        <v>0</v>
      </c>
      <c r="P86" s="1">
        <f t="shared" si="9"/>
        <v>0</v>
      </c>
      <c r="S86" s="1">
        <f t="shared" si="10"/>
        <v>0</v>
      </c>
      <c r="U86" s="1">
        <v>70880.570000000007</v>
      </c>
      <c r="X86" s="1" t="s">
        <v>517</v>
      </c>
      <c r="Y86" s="1">
        <v>0</v>
      </c>
      <c r="Z86" s="1">
        <v>0</v>
      </c>
      <c r="AA86" s="1" t="s">
        <v>53</v>
      </c>
      <c r="AB86" s="1" t="s">
        <v>530</v>
      </c>
      <c r="AC86" s="1" t="s">
        <v>53</v>
      </c>
      <c r="AD86" s="1" t="s">
        <v>524</v>
      </c>
      <c r="AE86" s="1" t="s">
        <v>890</v>
      </c>
      <c r="AF86" s="11"/>
      <c r="AG86" s="11"/>
      <c r="AH86" s="11"/>
      <c r="AI86" s="11"/>
      <c r="AJ86" s="11"/>
      <c r="AK86" s="11"/>
      <c r="AL86" s="11"/>
      <c r="AM86" s="11"/>
      <c r="AN86" s="11"/>
      <c r="AO86" s="11"/>
      <c r="AP86" s="11"/>
      <c r="AQ86" s="11"/>
      <c r="AR86" s="130"/>
      <c r="AS86" s="11"/>
      <c r="AT86" s="11"/>
      <c r="AU86" s="11"/>
      <c r="AV86" s="11"/>
      <c r="AW86" s="11"/>
      <c r="AX86" s="11"/>
      <c r="AY86" s="11"/>
      <c r="AZ86" s="11"/>
      <c r="BA86" s="11"/>
      <c r="BB86" s="11"/>
      <c r="BC86" s="11"/>
      <c r="BD86" s="11"/>
      <c r="BE86" s="130"/>
      <c r="BF86" s="11"/>
      <c r="BG86" s="11"/>
      <c r="BH86" s="11"/>
      <c r="BI86" s="11"/>
      <c r="BJ86" s="11"/>
      <c r="BK86" s="11"/>
      <c r="BL86" s="11"/>
      <c r="BM86" s="11"/>
      <c r="BN86" s="11"/>
      <c r="BO86" s="11"/>
      <c r="BP86" s="11"/>
      <c r="BQ86" s="11"/>
      <c r="BR86" s="127"/>
      <c r="BS86" s="19"/>
      <c r="BT86" s="19"/>
      <c r="BU86" s="19"/>
      <c r="BV86" s="19"/>
      <c r="BW86" s="19"/>
      <c r="BX86" s="19"/>
      <c r="BY86" s="19"/>
      <c r="BZ86" s="19"/>
      <c r="CA86" s="19"/>
      <c r="CB86" s="19"/>
      <c r="CC86" s="19"/>
      <c r="CD86" s="19"/>
      <c r="CE86" s="19"/>
      <c r="CF86" s="19"/>
      <c r="CG86" s="19"/>
      <c r="CH86" s="19"/>
      <c r="CI86" s="19"/>
      <c r="CJ86" s="19"/>
      <c r="CK86" s="19"/>
      <c r="CL86" s="19"/>
      <c r="CM86" s="19"/>
      <c r="CN86" s="19"/>
      <c r="CO86" s="19"/>
      <c r="CP86" s="19"/>
      <c r="CQ86" s="19"/>
      <c r="CR86" s="19"/>
      <c r="CS86" s="19"/>
      <c r="CT86" s="19"/>
      <c r="CU86" s="19"/>
      <c r="CV86" s="19"/>
      <c r="CW86" s="19"/>
      <c r="CX86" s="19"/>
      <c r="CY86" s="19"/>
      <c r="CZ86" s="19"/>
      <c r="DA86" s="19"/>
      <c r="DB86" s="19"/>
      <c r="DO86" s="1">
        <f t="shared" si="7"/>
        <v>0</v>
      </c>
      <c r="DP86" s="526"/>
    </row>
    <row r="87" spans="1:120" s="1" customFormat="1" ht="25.9" customHeight="1" x14ac:dyDescent="0.2">
      <c r="A87" s="6" t="s">
        <v>891</v>
      </c>
      <c r="B87" s="33" t="s">
        <v>45</v>
      </c>
      <c r="C87" s="1" t="s">
        <v>892</v>
      </c>
      <c r="D87" s="1" t="s">
        <v>893</v>
      </c>
      <c r="E87" s="1" t="s">
        <v>894</v>
      </c>
      <c r="F87" s="33" t="s">
        <v>49</v>
      </c>
      <c r="G87" s="33" t="s">
        <v>315</v>
      </c>
      <c r="H87" s="1" t="s">
        <v>563</v>
      </c>
      <c r="I87" s="115">
        <v>42234</v>
      </c>
      <c r="J87" s="115">
        <v>42428</v>
      </c>
      <c r="K87" s="1">
        <v>240000</v>
      </c>
      <c r="L87" s="1">
        <v>179185.2</v>
      </c>
      <c r="M87" s="1">
        <f t="shared" si="8"/>
        <v>0</v>
      </c>
      <c r="P87" s="1">
        <f t="shared" si="9"/>
        <v>0</v>
      </c>
      <c r="S87" s="1">
        <f t="shared" si="10"/>
        <v>0</v>
      </c>
      <c r="U87" s="1">
        <v>60814.799999999988</v>
      </c>
      <c r="X87" s="1" t="s">
        <v>517</v>
      </c>
      <c r="Y87" s="1">
        <v>0</v>
      </c>
      <c r="Z87" s="1">
        <v>0</v>
      </c>
      <c r="AA87" s="1" t="s">
        <v>53</v>
      </c>
      <c r="AB87" s="1" t="s">
        <v>530</v>
      </c>
      <c r="AC87" s="1" t="s">
        <v>53</v>
      </c>
      <c r="AD87" s="1" t="s">
        <v>524</v>
      </c>
      <c r="AE87" s="1" t="s">
        <v>895</v>
      </c>
      <c r="AF87" s="11"/>
      <c r="AG87" s="11"/>
      <c r="AH87" s="11"/>
      <c r="AI87" s="11"/>
      <c r="AJ87" s="11"/>
      <c r="AK87" s="11"/>
      <c r="AL87" s="11"/>
      <c r="AM87" s="11"/>
      <c r="AN87" s="11"/>
      <c r="AO87" s="11"/>
      <c r="AP87" s="11"/>
      <c r="AQ87" s="11"/>
      <c r="AR87" s="130"/>
      <c r="AS87" s="11"/>
      <c r="AT87" s="11"/>
      <c r="AU87" s="11"/>
      <c r="AV87" s="11"/>
      <c r="AW87" s="11"/>
      <c r="AX87" s="11"/>
      <c r="AY87" s="11"/>
      <c r="AZ87" s="11"/>
      <c r="BA87" s="11"/>
      <c r="BB87" s="11"/>
      <c r="BC87" s="11"/>
      <c r="BD87" s="11"/>
      <c r="BE87" s="130"/>
      <c r="BF87" s="11"/>
      <c r="BG87" s="11"/>
      <c r="BH87" s="11"/>
      <c r="BI87" s="11"/>
      <c r="BJ87" s="11"/>
      <c r="BK87" s="11"/>
      <c r="BL87" s="11"/>
      <c r="BM87" s="11"/>
      <c r="BN87" s="11"/>
      <c r="BO87" s="11"/>
      <c r="BP87" s="11"/>
      <c r="BQ87" s="11"/>
      <c r="BR87" s="127"/>
      <c r="BS87" s="19"/>
      <c r="BT87" s="19"/>
      <c r="BU87" s="19"/>
      <c r="BV87" s="19"/>
      <c r="BW87" s="19"/>
      <c r="BX87" s="19"/>
      <c r="BY87" s="19"/>
      <c r="BZ87" s="19"/>
      <c r="CA87" s="19"/>
      <c r="CB87" s="19"/>
      <c r="CC87" s="19"/>
      <c r="CD87" s="19"/>
      <c r="CE87" s="19"/>
      <c r="CF87" s="19"/>
      <c r="CG87" s="19"/>
      <c r="CH87" s="19"/>
      <c r="CI87" s="19"/>
      <c r="CJ87" s="19"/>
      <c r="CK87" s="19"/>
      <c r="CL87" s="19"/>
      <c r="CM87" s="19"/>
      <c r="CN87" s="19"/>
      <c r="CO87" s="19"/>
      <c r="CP87" s="19"/>
      <c r="CQ87" s="19"/>
      <c r="CR87" s="19"/>
      <c r="CS87" s="19"/>
      <c r="CT87" s="19"/>
      <c r="CU87" s="19"/>
      <c r="CV87" s="19"/>
      <c r="CW87" s="19"/>
      <c r="CX87" s="19"/>
      <c r="CY87" s="19"/>
      <c r="CZ87" s="19"/>
      <c r="DA87" s="19"/>
      <c r="DB87" s="19"/>
      <c r="DO87" s="1">
        <f t="shared" si="7"/>
        <v>0</v>
      </c>
      <c r="DP87" s="526"/>
    </row>
    <row r="88" spans="1:120" s="1" customFormat="1" ht="25.9" customHeight="1" x14ac:dyDescent="0.2">
      <c r="A88" s="6" t="s">
        <v>896</v>
      </c>
      <c r="B88" s="33" t="s">
        <v>57</v>
      </c>
      <c r="C88" s="1" t="s">
        <v>897</v>
      </c>
      <c r="D88" s="1" t="s">
        <v>884</v>
      </c>
      <c r="E88" s="1" t="s">
        <v>885</v>
      </c>
      <c r="F88" s="33" t="s">
        <v>49</v>
      </c>
      <c r="G88" s="33" t="s">
        <v>315</v>
      </c>
      <c r="H88" s="1" t="s">
        <v>563</v>
      </c>
      <c r="I88" s="115">
        <v>42234</v>
      </c>
      <c r="J88" s="115">
        <v>42325</v>
      </c>
      <c r="K88" s="1">
        <v>208000</v>
      </c>
      <c r="L88" s="1">
        <v>504690.99</v>
      </c>
      <c r="M88" s="1">
        <f t="shared" si="8"/>
        <v>0</v>
      </c>
      <c r="P88" s="1">
        <f t="shared" si="9"/>
        <v>0</v>
      </c>
      <c r="S88" s="1">
        <f t="shared" si="10"/>
        <v>0</v>
      </c>
      <c r="U88" s="1">
        <v>-296690.99</v>
      </c>
      <c r="X88" s="1" t="s">
        <v>517</v>
      </c>
      <c r="Y88" s="1">
        <v>0</v>
      </c>
      <c r="Z88" s="1">
        <v>0</v>
      </c>
      <c r="AA88" s="1" t="s">
        <v>53</v>
      </c>
      <c r="AB88" s="1" t="s">
        <v>530</v>
      </c>
      <c r="AC88" s="1" t="s">
        <v>53</v>
      </c>
      <c r="AD88" s="1" t="s">
        <v>524</v>
      </c>
      <c r="AE88" s="1" t="s">
        <v>898</v>
      </c>
      <c r="AF88" s="11"/>
      <c r="AG88" s="11"/>
      <c r="AH88" s="11"/>
      <c r="AI88" s="11"/>
      <c r="AJ88" s="11"/>
      <c r="AK88" s="11"/>
      <c r="AL88" s="11"/>
      <c r="AM88" s="11"/>
      <c r="AN88" s="11"/>
      <c r="AO88" s="11"/>
      <c r="AP88" s="11"/>
      <c r="AQ88" s="11"/>
      <c r="AR88" s="130"/>
      <c r="AS88" s="11"/>
      <c r="AT88" s="11"/>
      <c r="AU88" s="11"/>
      <c r="AV88" s="11"/>
      <c r="AW88" s="11"/>
      <c r="AX88" s="11"/>
      <c r="AY88" s="11"/>
      <c r="AZ88" s="11"/>
      <c r="BA88" s="11"/>
      <c r="BB88" s="11"/>
      <c r="BC88" s="11"/>
      <c r="BD88" s="11"/>
      <c r="BE88" s="130"/>
      <c r="BF88" s="11"/>
      <c r="BG88" s="11"/>
      <c r="BH88" s="11"/>
      <c r="BI88" s="11"/>
      <c r="BJ88" s="11"/>
      <c r="BK88" s="11"/>
      <c r="BL88" s="11"/>
      <c r="BM88" s="11"/>
      <c r="BN88" s="11"/>
      <c r="BO88" s="11"/>
      <c r="BP88" s="11"/>
      <c r="BQ88" s="11"/>
      <c r="BR88" s="127"/>
      <c r="BS88" s="19"/>
      <c r="BT88" s="19"/>
      <c r="BU88" s="19"/>
      <c r="BV88" s="19"/>
      <c r="BW88" s="19"/>
      <c r="BX88" s="19"/>
      <c r="BY88" s="19"/>
      <c r="BZ88" s="19"/>
      <c r="CA88" s="19"/>
      <c r="CB88" s="19"/>
      <c r="CC88" s="19"/>
      <c r="CD88" s="19"/>
      <c r="CE88" s="19"/>
      <c r="CF88" s="19"/>
      <c r="CG88" s="19"/>
      <c r="CH88" s="19"/>
      <c r="CI88" s="19"/>
      <c r="CJ88" s="19"/>
      <c r="CK88" s="19"/>
      <c r="CL88" s="19"/>
      <c r="CM88" s="19"/>
      <c r="CN88" s="19"/>
      <c r="CO88" s="19"/>
      <c r="CP88" s="19"/>
      <c r="CQ88" s="19"/>
      <c r="CR88" s="19"/>
      <c r="CS88" s="19"/>
      <c r="CT88" s="19"/>
      <c r="CU88" s="19"/>
      <c r="CV88" s="19"/>
      <c r="CW88" s="19"/>
      <c r="CX88" s="19"/>
      <c r="CY88" s="19"/>
      <c r="CZ88" s="19"/>
      <c r="DA88" s="19"/>
      <c r="DB88" s="19"/>
      <c r="DO88" s="1">
        <f t="shared" si="7"/>
        <v>0</v>
      </c>
      <c r="DP88" s="526"/>
    </row>
    <row r="89" spans="1:120" s="1" customFormat="1" ht="25.9" customHeight="1" x14ac:dyDescent="0.2">
      <c r="A89" s="6" t="s">
        <v>899</v>
      </c>
      <c r="B89" s="33" t="s">
        <v>57</v>
      </c>
      <c r="C89" s="1" t="s">
        <v>900</v>
      </c>
      <c r="D89" s="1" t="s">
        <v>382</v>
      </c>
      <c r="E89" s="1" t="s">
        <v>383</v>
      </c>
      <c r="F89" s="33" t="s">
        <v>49</v>
      </c>
      <c r="G89" s="33" t="s">
        <v>354</v>
      </c>
      <c r="H89" s="1" t="s">
        <v>777</v>
      </c>
      <c r="I89" s="115">
        <v>42481</v>
      </c>
      <c r="J89" s="115">
        <v>43576</v>
      </c>
      <c r="K89" s="1">
        <v>1536510</v>
      </c>
      <c r="L89" s="1">
        <v>5191660.0999999996</v>
      </c>
      <c r="M89" s="1">
        <f t="shared" si="8"/>
        <v>0</v>
      </c>
      <c r="P89" s="1">
        <f t="shared" si="9"/>
        <v>0</v>
      </c>
      <c r="S89" s="1">
        <f t="shared" si="10"/>
        <v>0</v>
      </c>
      <c r="U89" s="1">
        <v>-3655150.0999999996</v>
      </c>
      <c r="X89" s="1" t="s">
        <v>517</v>
      </c>
      <c r="Y89" s="1">
        <v>0</v>
      </c>
      <c r="Z89" s="1">
        <v>0</v>
      </c>
      <c r="AA89" s="1" t="s">
        <v>53</v>
      </c>
      <c r="AB89" s="1" t="s">
        <v>530</v>
      </c>
      <c r="AC89" s="1" t="s">
        <v>53</v>
      </c>
      <c r="AD89" s="1" t="s">
        <v>524</v>
      </c>
      <c r="AE89" s="1" t="s">
        <v>901</v>
      </c>
      <c r="AF89" s="11"/>
      <c r="AG89" s="11"/>
      <c r="AH89" s="11"/>
      <c r="AI89" s="11"/>
      <c r="AJ89" s="11"/>
      <c r="AK89" s="11"/>
      <c r="AL89" s="11"/>
      <c r="AM89" s="11"/>
      <c r="AN89" s="11"/>
      <c r="AO89" s="11"/>
      <c r="AP89" s="11"/>
      <c r="AQ89" s="11"/>
      <c r="AR89" s="130"/>
      <c r="AS89" s="11"/>
      <c r="AT89" s="11"/>
      <c r="AU89" s="11"/>
      <c r="AV89" s="11"/>
      <c r="AW89" s="11"/>
      <c r="AX89" s="11"/>
      <c r="AY89" s="11"/>
      <c r="AZ89" s="11"/>
      <c r="BA89" s="11"/>
      <c r="BB89" s="11"/>
      <c r="BC89" s="11"/>
      <c r="BD89" s="11"/>
      <c r="BE89" s="130"/>
      <c r="BF89" s="11"/>
      <c r="BG89" s="11"/>
      <c r="BH89" s="11"/>
      <c r="BI89" s="11"/>
      <c r="BJ89" s="11"/>
      <c r="BK89" s="11"/>
      <c r="BL89" s="11"/>
      <c r="BM89" s="11"/>
      <c r="BN89" s="11"/>
      <c r="BO89" s="11"/>
      <c r="BP89" s="11"/>
      <c r="BQ89" s="11"/>
      <c r="BR89" s="127"/>
      <c r="BS89" s="19"/>
      <c r="BT89" s="19"/>
      <c r="BU89" s="19"/>
      <c r="BV89" s="19"/>
      <c r="BW89" s="19"/>
      <c r="BX89" s="19"/>
      <c r="BY89" s="19"/>
      <c r="BZ89" s="19"/>
      <c r="CA89" s="19"/>
      <c r="CB89" s="19"/>
      <c r="CC89" s="19"/>
      <c r="CD89" s="19"/>
      <c r="CE89" s="19"/>
      <c r="CF89" s="19"/>
      <c r="CG89" s="19"/>
      <c r="CH89" s="19"/>
      <c r="CI89" s="19"/>
      <c r="CJ89" s="19"/>
      <c r="CK89" s="19"/>
      <c r="CL89" s="19"/>
      <c r="CM89" s="19"/>
      <c r="CN89" s="19"/>
      <c r="CO89" s="19"/>
      <c r="CP89" s="19"/>
      <c r="CQ89" s="19"/>
      <c r="CR89" s="19"/>
      <c r="CS89" s="19"/>
      <c r="CT89" s="19"/>
      <c r="CU89" s="19"/>
      <c r="CV89" s="19"/>
      <c r="CW89" s="19"/>
      <c r="CX89" s="19"/>
      <c r="CY89" s="19"/>
      <c r="CZ89" s="19"/>
      <c r="DA89" s="19"/>
      <c r="DB89" s="19"/>
      <c r="DO89" s="1">
        <f t="shared" si="7"/>
        <v>0</v>
      </c>
      <c r="DP89" s="526"/>
    </row>
    <row r="90" spans="1:120" s="1" customFormat="1" ht="25.9" customHeight="1" x14ac:dyDescent="0.2">
      <c r="A90" s="6" t="s">
        <v>902</v>
      </c>
      <c r="B90" s="33" t="s">
        <v>57</v>
      </c>
      <c r="C90" s="1" t="s">
        <v>903</v>
      </c>
      <c r="D90" s="1" t="s">
        <v>904</v>
      </c>
      <c r="E90" s="1" t="s">
        <v>905</v>
      </c>
      <c r="F90" s="33" t="s">
        <v>49</v>
      </c>
      <c r="G90" s="33" t="s">
        <v>315</v>
      </c>
      <c r="H90" s="1" t="s">
        <v>61</v>
      </c>
      <c r="I90" s="115">
        <v>42425</v>
      </c>
      <c r="J90" s="115">
        <v>42729</v>
      </c>
      <c r="K90" s="1">
        <v>3541477.83</v>
      </c>
      <c r="L90" s="1">
        <v>2457082.7000000002</v>
      </c>
      <c r="M90" s="1">
        <f t="shared" si="8"/>
        <v>0</v>
      </c>
      <c r="P90" s="1">
        <f t="shared" si="9"/>
        <v>0</v>
      </c>
      <c r="S90" s="1">
        <f t="shared" si="10"/>
        <v>0</v>
      </c>
      <c r="U90" s="1">
        <v>1084395.1299999999</v>
      </c>
      <c r="X90" s="1" t="s">
        <v>517</v>
      </c>
      <c r="Y90" s="1">
        <v>0</v>
      </c>
      <c r="Z90" s="1">
        <v>0</v>
      </c>
      <c r="AA90" s="1" t="s">
        <v>53</v>
      </c>
      <c r="AB90" s="1" t="s">
        <v>530</v>
      </c>
      <c r="AC90" s="1" t="s">
        <v>53</v>
      </c>
      <c r="AD90" s="1" t="s">
        <v>524</v>
      </c>
      <c r="AE90" s="1" t="s">
        <v>906</v>
      </c>
      <c r="AF90" s="11"/>
      <c r="AG90" s="11"/>
      <c r="AH90" s="11"/>
      <c r="AI90" s="11"/>
      <c r="AJ90" s="11"/>
      <c r="AK90" s="11"/>
      <c r="AL90" s="11"/>
      <c r="AM90" s="11"/>
      <c r="AN90" s="11"/>
      <c r="AO90" s="11"/>
      <c r="AP90" s="11"/>
      <c r="AQ90" s="11"/>
      <c r="AR90" s="130"/>
      <c r="AS90" s="11"/>
      <c r="AT90" s="11"/>
      <c r="AU90" s="11"/>
      <c r="AV90" s="11"/>
      <c r="AW90" s="11"/>
      <c r="AX90" s="11"/>
      <c r="AY90" s="11"/>
      <c r="AZ90" s="11"/>
      <c r="BA90" s="11"/>
      <c r="BB90" s="11"/>
      <c r="BC90" s="11"/>
      <c r="BD90" s="11"/>
      <c r="BE90" s="130"/>
      <c r="BF90" s="11"/>
      <c r="BG90" s="11"/>
      <c r="BH90" s="11"/>
      <c r="BI90" s="11"/>
      <c r="BJ90" s="11"/>
      <c r="BK90" s="11"/>
      <c r="BL90" s="11"/>
      <c r="BM90" s="11"/>
      <c r="BN90" s="11"/>
      <c r="BO90" s="11"/>
      <c r="BP90" s="11"/>
      <c r="BQ90" s="11"/>
      <c r="BR90" s="127"/>
      <c r="BS90" s="19"/>
      <c r="BT90" s="19"/>
      <c r="BU90" s="19"/>
      <c r="BV90" s="19"/>
      <c r="BW90" s="19"/>
      <c r="BX90" s="19"/>
      <c r="BY90" s="19"/>
      <c r="BZ90" s="19"/>
      <c r="CA90" s="19"/>
      <c r="CB90" s="19"/>
      <c r="CC90" s="19"/>
      <c r="CD90" s="19"/>
      <c r="CE90" s="19"/>
      <c r="CF90" s="19"/>
      <c r="CG90" s="19"/>
      <c r="CH90" s="19"/>
      <c r="CI90" s="19"/>
      <c r="CJ90" s="19"/>
      <c r="CK90" s="19"/>
      <c r="CL90" s="19"/>
      <c r="CM90" s="19"/>
      <c r="CN90" s="19"/>
      <c r="CO90" s="19"/>
      <c r="CP90" s="19"/>
      <c r="CQ90" s="19"/>
      <c r="CR90" s="19"/>
      <c r="CS90" s="19"/>
      <c r="CT90" s="19"/>
      <c r="CU90" s="19"/>
      <c r="CV90" s="19"/>
      <c r="CW90" s="19"/>
      <c r="CX90" s="19"/>
      <c r="CY90" s="19"/>
      <c r="CZ90" s="19"/>
      <c r="DA90" s="19"/>
      <c r="DB90" s="19"/>
      <c r="DO90" s="1">
        <f t="shared" si="7"/>
        <v>0</v>
      </c>
      <c r="DP90" s="526"/>
    </row>
    <row r="91" spans="1:120" s="1" customFormat="1" ht="25.9" customHeight="1" x14ac:dyDescent="0.2">
      <c r="A91" s="6" t="s">
        <v>907</v>
      </c>
      <c r="B91" s="33" t="s">
        <v>57</v>
      </c>
      <c r="C91" s="1" t="s">
        <v>908</v>
      </c>
      <c r="D91" s="1" t="s">
        <v>909</v>
      </c>
      <c r="E91" s="1" t="s">
        <v>910</v>
      </c>
      <c r="F91" s="33" t="s">
        <v>49</v>
      </c>
      <c r="G91" s="33" t="s">
        <v>569</v>
      </c>
      <c r="H91" s="1" t="s">
        <v>668</v>
      </c>
      <c r="I91" s="115">
        <v>42278</v>
      </c>
      <c r="J91" s="115">
        <v>42292</v>
      </c>
      <c r="K91" s="1">
        <v>315885.11</v>
      </c>
      <c r="L91" s="1">
        <v>315885.11</v>
      </c>
      <c r="M91" s="1">
        <f t="shared" si="8"/>
        <v>0</v>
      </c>
      <c r="P91" s="1">
        <f t="shared" si="9"/>
        <v>0</v>
      </c>
      <c r="S91" s="1">
        <f t="shared" si="10"/>
        <v>0</v>
      </c>
      <c r="U91" s="1">
        <v>0</v>
      </c>
      <c r="X91" s="1" t="s">
        <v>517</v>
      </c>
      <c r="Y91" s="1">
        <v>0</v>
      </c>
      <c r="Z91" s="1">
        <v>0</v>
      </c>
      <c r="AA91" s="1" t="s">
        <v>53</v>
      </c>
      <c r="AB91" s="1" t="s">
        <v>530</v>
      </c>
      <c r="AC91" s="1" t="s">
        <v>53</v>
      </c>
      <c r="AD91" s="1" t="s">
        <v>524</v>
      </c>
      <c r="AE91" s="1" t="s">
        <v>911</v>
      </c>
      <c r="AF91" s="11"/>
      <c r="AG91" s="11"/>
      <c r="AH91" s="11"/>
      <c r="AI91" s="11"/>
      <c r="AJ91" s="11"/>
      <c r="AK91" s="11"/>
      <c r="AL91" s="11"/>
      <c r="AM91" s="11"/>
      <c r="AN91" s="11"/>
      <c r="AO91" s="11"/>
      <c r="AP91" s="11"/>
      <c r="AQ91" s="11"/>
      <c r="AR91" s="130"/>
      <c r="AS91" s="11"/>
      <c r="AT91" s="11"/>
      <c r="AU91" s="11"/>
      <c r="AV91" s="11"/>
      <c r="AW91" s="11"/>
      <c r="AX91" s="11"/>
      <c r="AY91" s="11"/>
      <c r="AZ91" s="11"/>
      <c r="BA91" s="11"/>
      <c r="BB91" s="11"/>
      <c r="BC91" s="11"/>
      <c r="BD91" s="11"/>
      <c r="BE91" s="130"/>
      <c r="BF91" s="11"/>
      <c r="BG91" s="11"/>
      <c r="BH91" s="11"/>
      <c r="BI91" s="11"/>
      <c r="BJ91" s="11"/>
      <c r="BK91" s="11"/>
      <c r="BL91" s="11"/>
      <c r="BM91" s="11"/>
      <c r="BN91" s="11"/>
      <c r="BO91" s="11"/>
      <c r="BP91" s="11"/>
      <c r="BQ91" s="11"/>
      <c r="BR91" s="127"/>
      <c r="BS91" s="19"/>
      <c r="BT91" s="19"/>
      <c r="BU91" s="19"/>
      <c r="BV91" s="19"/>
      <c r="BW91" s="19"/>
      <c r="BX91" s="19"/>
      <c r="BY91" s="19"/>
      <c r="BZ91" s="19"/>
      <c r="CA91" s="19"/>
      <c r="CB91" s="19"/>
      <c r="CC91" s="19"/>
      <c r="CD91" s="19"/>
      <c r="CE91" s="19"/>
      <c r="CF91" s="19"/>
      <c r="CG91" s="19"/>
      <c r="CH91" s="19"/>
      <c r="CI91" s="19"/>
      <c r="CJ91" s="19"/>
      <c r="CK91" s="19"/>
      <c r="CL91" s="19"/>
      <c r="CM91" s="19"/>
      <c r="CN91" s="19"/>
      <c r="CO91" s="19"/>
      <c r="CP91" s="19"/>
      <c r="CQ91" s="19"/>
      <c r="CR91" s="19"/>
      <c r="CS91" s="19"/>
      <c r="CT91" s="19"/>
      <c r="CU91" s="19"/>
      <c r="CV91" s="19"/>
      <c r="CW91" s="19"/>
      <c r="CX91" s="19"/>
      <c r="CY91" s="19"/>
      <c r="CZ91" s="19"/>
      <c r="DA91" s="19"/>
      <c r="DB91" s="19"/>
      <c r="DO91" s="1">
        <f t="shared" si="7"/>
        <v>0</v>
      </c>
      <c r="DP91" s="526"/>
    </row>
    <row r="92" spans="1:120" s="1" customFormat="1" ht="25.9" customHeight="1" x14ac:dyDescent="0.2">
      <c r="A92" s="6" t="s">
        <v>912</v>
      </c>
      <c r="B92" s="33" t="s">
        <v>57</v>
      </c>
      <c r="C92" s="1" t="s">
        <v>913</v>
      </c>
      <c r="D92" s="1" t="s">
        <v>914</v>
      </c>
      <c r="E92" s="1" t="s">
        <v>915</v>
      </c>
      <c r="F92" s="33" t="s">
        <v>49</v>
      </c>
      <c r="G92" s="33" t="s">
        <v>803</v>
      </c>
      <c r="H92" s="1" t="s">
        <v>916</v>
      </c>
      <c r="I92" s="115">
        <v>42307</v>
      </c>
      <c r="J92" s="115">
        <v>42399</v>
      </c>
      <c r="K92" s="1">
        <v>338300</v>
      </c>
      <c r="L92" s="1">
        <v>338300</v>
      </c>
      <c r="M92" s="1">
        <f t="shared" si="8"/>
        <v>0</v>
      </c>
      <c r="P92" s="1">
        <f t="shared" si="9"/>
        <v>0</v>
      </c>
      <c r="S92" s="1">
        <f t="shared" si="10"/>
        <v>0</v>
      </c>
      <c r="U92" s="1">
        <v>0</v>
      </c>
      <c r="X92" s="1" t="s">
        <v>517</v>
      </c>
      <c r="Y92" s="1">
        <v>0</v>
      </c>
      <c r="Z92" s="1">
        <v>0</v>
      </c>
      <c r="AA92" s="1" t="s">
        <v>53</v>
      </c>
      <c r="AB92" s="1" t="s">
        <v>530</v>
      </c>
      <c r="AC92" s="1" t="s">
        <v>53</v>
      </c>
      <c r="AD92" s="1" t="s">
        <v>524</v>
      </c>
      <c r="AE92" s="1" t="s">
        <v>917</v>
      </c>
      <c r="AF92" s="11"/>
      <c r="AG92" s="11"/>
      <c r="AH92" s="11"/>
      <c r="AI92" s="11"/>
      <c r="AJ92" s="11"/>
      <c r="AK92" s="11"/>
      <c r="AL92" s="11"/>
      <c r="AM92" s="11"/>
      <c r="AN92" s="11"/>
      <c r="AO92" s="11"/>
      <c r="AP92" s="11"/>
      <c r="AQ92" s="11"/>
      <c r="AR92" s="130"/>
      <c r="AS92" s="11"/>
      <c r="AT92" s="11"/>
      <c r="AU92" s="11"/>
      <c r="AV92" s="11"/>
      <c r="AW92" s="11"/>
      <c r="AX92" s="11"/>
      <c r="AY92" s="11"/>
      <c r="AZ92" s="11"/>
      <c r="BA92" s="11"/>
      <c r="BB92" s="11"/>
      <c r="BC92" s="11"/>
      <c r="BD92" s="11"/>
      <c r="BE92" s="130"/>
      <c r="BF92" s="11"/>
      <c r="BG92" s="11"/>
      <c r="BH92" s="11"/>
      <c r="BI92" s="11"/>
      <c r="BJ92" s="11"/>
      <c r="BK92" s="11"/>
      <c r="BL92" s="11"/>
      <c r="BM92" s="11"/>
      <c r="BN92" s="11"/>
      <c r="BO92" s="11"/>
      <c r="BP92" s="11"/>
      <c r="BQ92" s="11"/>
      <c r="BR92" s="127"/>
      <c r="BS92" s="19"/>
      <c r="BT92" s="19"/>
      <c r="BU92" s="19"/>
      <c r="BV92" s="19"/>
      <c r="BW92" s="19"/>
      <c r="BX92" s="19"/>
      <c r="BY92" s="19"/>
      <c r="BZ92" s="19"/>
      <c r="CA92" s="19"/>
      <c r="CB92" s="19"/>
      <c r="CC92" s="19"/>
      <c r="CD92" s="19"/>
      <c r="CE92" s="19"/>
      <c r="CF92" s="19"/>
      <c r="CG92" s="19"/>
      <c r="CH92" s="19"/>
      <c r="CI92" s="19"/>
      <c r="CJ92" s="19"/>
      <c r="CK92" s="19"/>
      <c r="CL92" s="19"/>
      <c r="CM92" s="19"/>
      <c r="CN92" s="19"/>
      <c r="CO92" s="19"/>
      <c r="CP92" s="19"/>
      <c r="CQ92" s="19"/>
      <c r="CR92" s="19"/>
      <c r="CS92" s="19"/>
      <c r="CT92" s="19"/>
      <c r="CU92" s="19"/>
      <c r="CV92" s="19"/>
      <c r="CW92" s="19"/>
      <c r="CX92" s="19"/>
      <c r="CY92" s="19"/>
      <c r="CZ92" s="19"/>
      <c r="DA92" s="19"/>
      <c r="DB92" s="19"/>
      <c r="DO92" s="1">
        <f t="shared" si="7"/>
        <v>0</v>
      </c>
      <c r="DP92" s="526"/>
    </row>
    <row r="93" spans="1:120" s="1" customFormat="1" ht="25.9" customHeight="1" x14ac:dyDescent="0.2">
      <c r="A93" s="6" t="s">
        <v>918</v>
      </c>
      <c r="B93" s="33" t="s">
        <v>57</v>
      </c>
      <c r="C93" s="1" t="s">
        <v>919</v>
      </c>
      <c r="D93" s="1" t="s">
        <v>920</v>
      </c>
      <c r="E93" s="1" t="s">
        <v>921</v>
      </c>
      <c r="F93" s="33" t="s">
        <v>49</v>
      </c>
      <c r="G93" s="33" t="s">
        <v>328</v>
      </c>
      <c r="H93" s="1" t="s">
        <v>916</v>
      </c>
      <c r="I93" s="115">
        <v>42216</v>
      </c>
      <c r="J93" s="115">
        <v>42308</v>
      </c>
      <c r="K93" s="1">
        <v>592344</v>
      </c>
      <c r="L93" s="1">
        <v>592344</v>
      </c>
      <c r="M93" s="1">
        <f t="shared" si="8"/>
        <v>0</v>
      </c>
      <c r="P93" s="1">
        <f t="shared" si="9"/>
        <v>0</v>
      </c>
      <c r="S93" s="1">
        <f t="shared" si="10"/>
        <v>0</v>
      </c>
      <c r="U93" s="1">
        <v>0</v>
      </c>
      <c r="X93" s="1" t="s">
        <v>517</v>
      </c>
      <c r="Y93" s="1">
        <v>0</v>
      </c>
      <c r="Z93" s="1">
        <v>0</v>
      </c>
      <c r="AA93" s="1" t="s">
        <v>53</v>
      </c>
      <c r="AB93" s="1" t="s">
        <v>530</v>
      </c>
      <c r="AC93" s="1" t="s">
        <v>53</v>
      </c>
      <c r="AD93" s="1" t="s">
        <v>524</v>
      </c>
      <c r="AE93" s="1" t="s">
        <v>922</v>
      </c>
      <c r="AF93" s="11"/>
      <c r="AG93" s="11"/>
      <c r="AH93" s="11"/>
      <c r="AI93" s="11"/>
      <c r="AJ93" s="11"/>
      <c r="AK93" s="11"/>
      <c r="AL93" s="11"/>
      <c r="AM93" s="11"/>
      <c r="AN93" s="11"/>
      <c r="AO93" s="11"/>
      <c r="AP93" s="11"/>
      <c r="AQ93" s="11"/>
      <c r="AR93" s="130"/>
      <c r="AS93" s="11"/>
      <c r="AT93" s="11"/>
      <c r="AU93" s="11"/>
      <c r="AV93" s="11"/>
      <c r="AW93" s="11"/>
      <c r="AX93" s="11"/>
      <c r="AY93" s="11"/>
      <c r="AZ93" s="11"/>
      <c r="BA93" s="11"/>
      <c r="BB93" s="11"/>
      <c r="BC93" s="11"/>
      <c r="BD93" s="11"/>
      <c r="BE93" s="130"/>
      <c r="BF93" s="11"/>
      <c r="BG93" s="11"/>
      <c r="BH93" s="11"/>
      <c r="BI93" s="11"/>
      <c r="BJ93" s="11"/>
      <c r="BK93" s="11"/>
      <c r="BL93" s="11"/>
      <c r="BM93" s="11"/>
      <c r="BN93" s="11"/>
      <c r="BO93" s="11"/>
      <c r="BP93" s="11"/>
      <c r="BQ93" s="11"/>
      <c r="BR93" s="127"/>
      <c r="BS93" s="19"/>
      <c r="BT93" s="19"/>
      <c r="BU93" s="19"/>
      <c r="BV93" s="19"/>
      <c r="BW93" s="19"/>
      <c r="BX93" s="19"/>
      <c r="BY93" s="19"/>
      <c r="BZ93" s="19"/>
      <c r="CA93" s="19"/>
      <c r="CB93" s="19"/>
      <c r="CC93" s="19"/>
      <c r="CD93" s="19"/>
      <c r="CE93" s="19"/>
      <c r="CF93" s="19"/>
      <c r="CG93" s="19"/>
      <c r="CH93" s="19"/>
      <c r="CI93" s="19"/>
      <c r="CJ93" s="19"/>
      <c r="CK93" s="19"/>
      <c r="CL93" s="19"/>
      <c r="CM93" s="19"/>
      <c r="CN93" s="19"/>
      <c r="CO93" s="19"/>
      <c r="CP93" s="19"/>
      <c r="CQ93" s="19"/>
      <c r="CR93" s="19"/>
      <c r="CS93" s="19"/>
      <c r="CT93" s="19"/>
      <c r="CU93" s="19"/>
      <c r="CV93" s="19"/>
      <c r="CW93" s="19"/>
      <c r="CX93" s="19"/>
      <c r="CY93" s="19"/>
      <c r="CZ93" s="19"/>
      <c r="DA93" s="19"/>
      <c r="DB93" s="19"/>
      <c r="DO93" s="1">
        <f t="shared" si="7"/>
        <v>0</v>
      </c>
      <c r="DP93" s="526"/>
    </row>
    <row r="94" spans="1:120" s="1" customFormat="1" ht="25.9" customHeight="1" x14ac:dyDescent="0.2">
      <c r="A94" s="6" t="s">
        <v>923</v>
      </c>
      <c r="B94" s="33" t="s">
        <v>57</v>
      </c>
      <c r="C94" s="1" t="s">
        <v>924</v>
      </c>
      <c r="D94" s="1" t="s">
        <v>47</v>
      </c>
      <c r="E94" s="1" t="s">
        <v>48</v>
      </c>
      <c r="F94" s="33" t="s">
        <v>49</v>
      </c>
      <c r="G94" s="33" t="s">
        <v>712</v>
      </c>
      <c r="H94" s="1" t="s">
        <v>916</v>
      </c>
      <c r="I94" s="115">
        <v>42233</v>
      </c>
      <c r="J94" s="115">
        <v>42417</v>
      </c>
      <c r="K94" s="1">
        <v>3799573.1</v>
      </c>
      <c r="L94" s="1">
        <v>0</v>
      </c>
      <c r="M94" s="1">
        <f t="shared" si="8"/>
        <v>0</v>
      </c>
      <c r="P94" s="1">
        <f t="shared" si="9"/>
        <v>0</v>
      </c>
      <c r="S94" s="1">
        <f t="shared" si="10"/>
        <v>0</v>
      </c>
      <c r="U94" s="1">
        <v>3799573.1</v>
      </c>
      <c r="X94" s="1" t="s">
        <v>517</v>
      </c>
      <c r="Y94" s="1">
        <v>0</v>
      </c>
      <c r="Z94" s="1">
        <v>0</v>
      </c>
      <c r="AA94" s="1" t="s">
        <v>53</v>
      </c>
      <c r="AB94" s="1" t="s">
        <v>53</v>
      </c>
      <c r="AC94" s="1" t="s">
        <v>53</v>
      </c>
      <c r="AD94" s="1" t="s">
        <v>524</v>
      </c>
      <c r="AE94" s="1" t="s">
        <v>925</v>
      </c>
      <c r="AF94" s="11"/>
      <c r="AG94" s="11"/>
      <c r="AH94" s="11"/>
      <c r="AI94" s="11"/>
      <c r="AJ94" s="11"/>
      <c r="AK94" s="11"/>
      <c r="AL94" s="11"/>
      <c r="AM94" s="11"/>
      <c r="AN94" s="11"/>
      <c r="AO94" s="11"/>
      <c r="AP94" s="11"/>
      <c r="AQ94" s="11"/>
      <c r="AR94" s="130"/>
      <c r="AS94" s="11"/>
      <c r="AT94" s="11"/>
      <c r="AU94" s="11"/>
      <c r="AV94" s="11"/>
      <c r="AW94" s="11"/>
      <c r="AX94" s="11"/>
      <c r="AY94" s="11"/>
      <c r="AZ94" s="11"/>
      <c r="BA94" s="11"/>
      <c r="BB94" s="11"/>
      <c r="BC94" s="11"/>
      <c r="BD94" s="11"/>
      <c r="BE94" s="130"/>
      <c r="BF94" s="11"/>
      <c r="BG94" s="11"/>
      <c r="BH94" s="11"/>
      <c r="BI94" s="11"/>
      <c r="BJ94" s="11"/>
      <c r="BK94" s="11"/>
      <c r="BL94" s="11"/>
      <c r="BM94" s="11"/>
      <c r="BN94" s="11"/>
      <c r="BO94" s="11"/>
      <c r="BP94" s="11"/>
      <c r="BQ94" s="11"/>
      <c r="BR94" s="127"/>
      <c r="BS94" s="19"/>
      <c r="BT94" s="19"/>
      <c r="BU94" s="19"/>
      <c r="BV94" s="19"/>
      <c r="BW94" s="19"/>
      <c r="BX94" s="19"/>
      <c r="BY94" s="19"/>
      <c r="BZ94" s="19"/>
      <c r="CA94" s="19"/>
      <c r="CB94" s="19"/>
      <c r="CC94" s="19"/>
      <c r="CD94" s="19"/>
      <c r="CE94" s="19"/>
      <c r="CF94" s="19"/>
      <c r="CG94" s="19"/>
      <c r="CH94" s="19"/>
      <c r="CI94" s="19"/>
      <c r="CJ94" s="19"/>
      <c r="CK94" s="19"/>
      <c r="CL94" s="19"/>
      <c r="CM94" s="19"/>
      <c r="CN94" s="19"/>
      <c r="CO94" s="19"/>
      <c r="CP94" s="19"/>
      <c r="CQ94" s="19"/>
      <c r="CR94" s="19"/>
      <c r="CS94" s="19"/>
      <c r="CT94" s="19"/>
      <c r="CU94" s="19"/>
      <c r="CV94" s="19"/>
      <c r="CW94" s="19"/>
      <c r="CX94" s="19"/>
      <c r="CY94" s="19"/>
      <c r="CZ94" s="19"/>
      <c r="DA94" s="19"/>
      <c r="DB94" s="19"/>
      <c r="DO94" s="1">
        <f t="shared" si="7"/>
        <v>0</v>
      </c>
      <c r="DP94" s="526"/>
    </row>
    <row r="95" spans="1:120" s="1" customFormat="1" ht="25.9" customHeight="1" x14ac:dyDescent="0.2">
      <c r="A95" s="6" t="s">
        <v>926</v>
      </c>
      <c r="B95" s="33" t="s">
        <v>57</v>
      </c>
      <c r="C95" s="118" t="s">
        <v>927</v>
      </c>
      <c r="D95" s="1" t="s">
        <v>928</v>
      </c>
      <c r="E95" s="1" t="s">
        <v>752</v>
      </c>
      <c r="F95" s="33" t="s">
        <v>49</v>
      </c>
      <c r="G95" s="33" t="s">
        <v>803</v>
      </c>
      <c r="H95" s="1" t="s">
        <v>61</v>
      </c>
      <c r="I95" s="115">
        <v>42275</v>
      </c>
      <c r="J95" s="115">
        <v>42457</v>
      </c>
      <c r="K95" s="57">
        <v>2981955.63</v>
      </c>
      <c r="L95" s="1">
        <v>3222825.4000000004</v>
      </c>
      <c r="M95" s="1">
        <f t="shared" si="8"/>
        <v>0</v>
      </c>
      <c r="P95" s="1">
        <f t="shared" si="9"/>
        <v>0</v>
      </c>
      <c r="S95" s="1">
        <f t="shared" si="10"/>
        <v>0</v>
      </c>
      <c r="U95" s="1">
        <v>-240869.77000000048</v>
      </c>
      <c r="X95" s="1" t="s">
        <v>517</v>
      </c>
      <c r="Y95" s="1">
        <v>0</v>
      </c>
      <c r="Z95" s="1">
        <v>0</v>
      </c>
      <c r="AA95" s="1" t="s">
        <v>53</v>
      </c>
      <c r="AB95" s="1" t="s">
        <v>530</v>
      </c>
      <c r="AC95" s="1" t="s">
        <v>53</v>
      </c>
      <c r="AD95" s="1" t="s">
        <v>524</v>
      </c>
      <c r="AE95" s="1" t="s">
        <v>929</v>
      </c>
      <c r="AF95" s="11"/>
      <c r="AG95" s="11"/>
      <c r="AH95" s="11"/>
      <c r="AI95" s="11"/>
      <c r="AJ95" s="11"/>
      <c r="AK95" s="11"/>
      <c r="AL95" s="11"/>
      <c r="AM95" s="11"/>
      <c r="AN95" s="11"/>
      <c r="AO95" s="11"/>
      <c r="AP95" s="11"/>
      <c r="AQ95" s="11"/>
      <c r="AR95" s="130"/>
      <c r="AS95" s="11"/>
      <c r="AT95" s="11"/>
      <c r="AU95" s="11"/>
      <c r="AV95" s="11"/>
      <c r="AW95" s="11"/>
      <c r="AX95" s="11"/>
      <c r="AY95" s="11"/>
      <c r="AZ95" s="11"/>
      <c r="BA95" s="11"/>
      <c r="BB95" s="11"/>
      <c r="BC95" s="11"/>
      <c r="BD95" s="11"/>
      <c r="BE95" s="130"/>
      <c r="BF95" s="11"/>
      <c r="BG95" s="11"/>
      <c r="BH95" s="11"/>
      <c r="BI95" s="11"/>
      <c r="BJ95" s="11"/>
      <c r="BK95" s="11"/>
      <c r="BL95" s="11"/>
      <c r="BM95" s="11"/>
      <c r="BN95" s="11"/>
      <c r="BO95" s="11"/>
      <c r="BP95" s="11"/>
      <c r="BQ95" s="11"/>
      <c r="BR95" s="111"/>
      <c r="BS95" s="19"/>
      <c r="BT95" s="19"/>
      <c r="BU95" s="19"/>
      <c r="BV95" s="19"/>
      <c r="BW95" s="19"/>
      <c r="BX95" s="19"/>
      <c r="BY95" s="19"/>
      <c r="BZ95" s="19"/>
      <c r="CA95" s="19"/>
      <c r="CB95" s="19"/>
      <c r="CC95" s="19"/>
      <c r="CD95" s="19"/>
      <c r="CE95" s="19"/>
      <c r="CF95" s="19"/>
      <c r="CG95" s="19"/>
      <c r="CH95" s="19"/>
      <c r="CI95" s="19"/>
      <c r="CJ95" s="19"/>
      <c r="CK95" s="19"/>
      <c r="CL95" s="19"/>
      <c r="CM95" s="19"/>
      <c r="CN95" s="19"/>
      <c r="CO95" s="19"/>
      <c r="CP95" s="19"/>
      <c r="CQ95" s="19"/>
      <c r="CR95" s="19"/>
      <c r="CS95" s="19"/>
      <c r="CT95" s="19"/>
      <c r="CU95" s="19"/>
      <c r="CV95" s="19"/>
      <c r="CW95" s="19"/>
      <c r="CX95" s="19"/>
      <c r="CY95" s="19"/>
      <c r="CZ95" s="19"/>
      <c r="DA95" s="19"/>
      <c r="DB95" s="19"/>
      <c r="DO95" s="1">
        <f t="shared" si="7"/>
        <v>0</v>
      </c>
      <c r="DP95" s="526"/>
    </row>
    <row r="96" spans="1:120" s="1" customFormat="1" ht="25.9" customHeight="1" x14ac:dyDescent="0.2">
      <c r="A96" s="6" t="s">
        <v>930</v>
      </c>
      <c r="B96" s="33" t="s">
        <v>57</v>
      </c>
      <c r="C96" s="1" t="s">
        <v>931</v>
      </c>
      <c r="D96" s="1" t="s">
        <v>932</v>
      </c>
      <c r="E96" s="1" t="s">
        <v>933</v>
      </c>
      <c r="F96" s="33" t="s">
        <v>49</v>
      </c>
      <c r="G96" s="33" t="s">
        <v>315</v>
      </c>
      <c r="H96" s="1" t="s">
        <v>61</v>
      </c>
      <c r="I96" s="115">
        <v>42361</v>
      </c>
      <c r="J96" s="115">
        <v>42483</v>
      </c>
      <c r="K96" s="1">
        <v>2784419.22</v>
      </c>
      <c r="L96" s="1">
        <v>2508176.7000000002</v>
      </c>
      <c r="M96" s="1">
        <f t="shared" si="8"/>
        <v>0</v>
      </c>
      <c r="P96" s="1">
        <f t="shared" si="9"/>
        <v>0</v>
      </c>
      <c r="S96" s="1">
        <f t="shared" si="10"/>
        <v>0</v>
      </c>
      <c r="U96" s="1">
        <v>276242.52</v>
      </c>
      <c r="X96" s="1" t="s">
        <v>517</v>
      </c>
      <c r="Y96" s="1">
        <v>0</v>
      </c>
      <c r="Z96" s="1">
        <v>0</v>
      </c>
      <c r="AA96" s="1" t="s">
        <v>53</v>
      </c>
      <c r="AB96" s="1" t="s">
        <v>530</v>
      </c>
      <c r="AC96" s="1" t="s">
        <v>53</v>
      </c>
      <c r="AD96" s="1" t="s">
        <v>524</v>
      </c>
      <c r="AE96" s="1" t="s">
        <v>934</v>
      </c>
      <c r="AF96" s="11"/>
      <c r="AG96" s="11"/>
      <c r="AH96" s="11"/>
      <c r="AI96" s="11"/>
      <c r="AJ96" s="11"/>
      <c r="AK96" s="11"/>
      <c r="AL96" s="11"/>
      <c r="AM96" s="11"/>
      <c r="AN96" s="11"/>
      <c r="AO96" s="11"/>
      <c r="AP96" s="11"/>
      <c r="AQ96" s="11"/>
      <c r="AR96" s="130"/>
      <c r="AS96" s="11"/>
      <c r="AT96" s="11"/>
      <c r="AU96" s="11"/>
      <c r="AV96" s="11"/>
      <c r="AW96" s="11"/>
      <c r="AX96" s="11"/>
      <c r="AY96" s="11"/>
      <c r="AZ96" s="11"/>
      <c r="BA96" s="11"/>
      <c r="BB96" s="11"/>
      <c r="BC96" s="11"/>
      <c r="BD96" s="11"/>
      <c r="BE96" s="130"/>
      <c r="BF96" s="11"/>
      <c r="BG96" s="11"/>
      <c r="BH96" s="11"/>
      <c r="BI96" s="11"/>
      <c r="BJ96" s="11"/>
      <c r="BK96" s="11"/>
      <c r="BL96" s="11"/>
      <c r="BM96" s="11"/>
      <c r="BN96" s="11"/>
      <c r="BO96" s="11"/>
      <c r="BP96" s="11"/>
      <c r="BQ96" s="11"/>
      <c r="BR96" s="127"/>
      <c r="BS96" s="19"/>
      <c r="BT96" s="19"/>
      <c r="BU96" s="19"/>
      <c r="BV96" s="19"/>
      <c r="BW96" s="19"/>
      <c r="BX96" s="19"/>
      <c r="BY96" s="19"/>
      <c r="BZ96" s="19"/>
      <c r="CA96" s="19"/>
      <c r="CB96" s="19"/>
      <c r="CC96" s="19"/>
      <c r="CD96" s="19"/>
      <c r="CE96" s="19"/>
      <c r="CF96" s="19"/>
      <c r="CG96" s="19"/>
      <c r="CH96" s="19"/>
      <c r="CI96" s="19"/>
      <c r="CJ96" s="19"/>
      <c r="CK96" s="19"/>
      <c r="CL96" s="19"/>
      <c r="CM96" s="19"/>
      <c r="CN96" s="19"/>
      <c r="CO96" s="19"/>
      <c r="CP96" s="19"/>
      <c r="CQ96" s="19"/>
      <c r="CR96" s="19"/>
      <c r="CS96" s="19"/>
      <c r="CT96" s="19"/>
      <c r="CU96" s="19"/>
      <c r="CV96" s="19"/>
      <c r="CW96" s="19"/>
      <c r="CX96" s="19"/>
      <c r="CY96" s="19"/>
      <c r="CZ96" s="19"/>
      <c r="DA96" s="19"/>
      <c r="DB96" s="19"/>
      <c r="DO96" s="1">
        <f t="shared" si="7"/>
        <v>0</v>
      </c>
      <c r="DP96" s="526"/>
    </row>
    <row r="97" spans="1:120" s="1" customFormat="1" ht="25.9" customHeight="1" x14ac:dyDescent="0.2">
      <c r="A97" s="6" t="s">
        <v>935</v>
      </c>
      <c r="B97" s="33" t="s">
        <v>57</v>
      </c>
      <c r="C97" s="1" t="s">
        <v>936</v>
      </c>
      <c r="D97" s="1" t="s">
        <v>937</v>
      </c>
      <c r="E97" s="1" t="s">
        <v>938</v>
      </c>
      <c r="F97" s="33" t="s">
        <v>49</v>
      </c>
      <c r="G97" s="33" t="s">
        <v>315</v>
      </c>
      <c r="H97" s="1" t="s">
        <v>61</v>
      </c>
      <c r="I97" s="115">
        <v>42249</v>
      </c>
      <c r="J97" s="115">
        <v>42431</v>
      </c>
      <c r="K97" s="1">
        <v>2145442.8199999998</v>
      </c>
      <c r="L97" s="1">
        <v>1714378.51</v>
      </c>
      <c r="M97" s="1">
        <f t="shared" si="8"/>
        <v>0</v>
      </c>
      <c r="P97" s="1">
        <f t="shared" si="9"/>
        <v>0</v>
      </c>
      <c r="S97" s="1">
        <f t="shared" si="10"/>
        <v>0</v>
      </c>
      <c r="U97" s="1">
        <v>431064.30999999982</v>
      </c>
      <c r="X97" s="1" t="s">
        <v>517</v>
      </c>
      <c r="Y97" s="1">
        <v>0</v>
      </c>
      <c r="Z97" s="1">
        <v>0</v>
      </c>
      <c r="AA97" s="1" t="s">
        <v>53</v>
      </c>
      <c r="AB97" s="1" t="s">
        <v>530</v>
      </c>
      <c r="AC97" s="1" t="s">
        <v>53</v>
      </c>
      <c r="AD97" s="1" t="s">
        <v>524</v>
      </c>
      <c r="AE97" s="1" t="s">
        <v>939</v>
      </c>
      <c r="AF97" s="11"/>
      <c r="AG97" s="11"/>
      <c r="AH97" s="11"/>
      <c r="AI97" s="11"/>
      <c r="AJ97" s="11"/>
      <c r="AK97" s="11"/>
      <c r="AL97" s="11"/>
      <c r="AM97" s="11"/>
      <c r="AN97" s="11"/>
      <c r="AO97" s="11"/>
      <c r="AP97" s="11"/>
      <c r="AQ97" s="11"/>
      <c r="AR97" s="130"/>
      <c r="AS97" s="11"/>
      <c r="AT97" s="11"/>
      <c r="AU97" s="11"/>
      <c r="AV97" s="11"/>
      <c r="AW97" s="11"/>
      <c r="AX97" s="11"/>
      <c r="AY97" s="11"/>
      <c r="AZ97" s="11"/>
      <c r="BA97" s="11"/>
      <c r="BB97" s="11"/>
      <c r="BC97" s="11"/>
      <c r="BD97" s="11"/>
      <c r="BE97" s="130"/>
      <c r="BF97" s="11"/>
      <c r="BG97" s="11"/>
      <c r="BH97" s="11"/>
      <c r="BI97" s="11"/>
      <c r="BJ97" s="11"/>
      <c r="BK97" s="11"/>
      <c r="BL97" s="11"/>
      <c r="BM97" s="11"/>
      <c r="BN97" s="11"/>
      <c r="BO97" s="11"/>
      <c r="BP97" s="11"/>
      <c r="BQ97" s="11"/>
      <c r="BR97" s="127"/>
      <c r="BS97" s="19"/>
      <c r="BT97" s="19"/>
      <c r="BU97" s="19"/>
      <c r="BV97" s="19"/>
      <c r="BW97" s="19"/>
      <c r="BX97" s="19"/>
      <c r="BY97" s="19"/>
      <c r="BZ97" s="19"/>
      <c r="CA97" s="19"/>
      <c r="CB97" s="19"/>
      <c r="CC97" s="19"/>
      <c r="CD97" s="19"/>
      <c r="CE97" s="19"/>
      <c r="CF97" s="19"/>
      <c r="CG97" s="19"/>
      <c r="CH97" s="19"/>
      <c r="CI97" s="19"/>
      <c r="CJ97" s="19"/>
      <c r="CK97" s="19"/>
      <c r="CL97" s="19"/>
      <c r="CM97" s="19"/>
      <c r="CN97" s="19"/>
      <c r="CO97" s="19"/>
      <c r="CP97" s="19"/>
      <c r="CQ97" s="19"/>
      <c r="CR97" s="19"/>
      <c r="CS97" s="19"/>
      <c r="CT97" s="19"/>
      <c r="CU97" s="19"/>
      <c r="CV97" s="19"/>
      <c r="CW97" s="19"/>
      <c r="CX97" s="19"/>
      <c r="CY97" s="19"/>
      <c r="CZ97" s="19"/>
      <c r="DA97" s="19"/>
      <c r="DB97" s="19"/>
      <c r="DO97" s="1">
        <f t="shared" si="7"/>
        <v>0</v>
      </c>
      <c r="DP97" s="526"/>
    </row>
    <row r="98" spans="1:120" s="1" customFormat="1" ht="25.9" customHeight="1" x14ac:dyDescent="0.2">
      <c r="A98" s="6" t="s">
        <v>940</v>
      </c>
      <c r="B98" s="33" t="s">
        <v>57</v>
      </c>
      <c r="C98" s="1" t="s">
        <v>941</v>
      </c>
      <c r="D98" s="1" t="s">
        <v>942</v>
      </c>
      <c r="E98" s="1" t="s">
        <v>943</v>
      </c>
      <c r="F98" s="33" t="s">
        <v>49</v>
      </c>
      <c r="G98" s="33" t="s">
        <v>315</v>
      </c>
      <c r="H98" s="1" t="s">
        <v>61</v>
      </c>
      <c r="I98" s="115">
        <v>42276</v>
      </c>
      <c r="J98" s="115">
        <v>42458</v>
      </c>
      <c r="K98" s="1">
        <v>1582582.99</v>
      </c>
      <c r="L98" s="1">
        <v>2710993.39</v>
      </c>
      <c r="M98" s="1">
        <f t="shared" si="8"/>
        <v>0</v>
      </c>
      <c r="P98" s="1">
        <f t="shared" si="9"/>
        <v>0</v>
      </c>
      <c r="S98" s="1">
        <f t="shared" si="10"/>
        <v>0</v>
      </c>
      <c r="U98" s="1">
        <v>-1128410.4000000001</v>
      </c>
      <c r="X98" s="1" t="s">
        <v>517</v>
      </c>
      <c r="Y98" s="1">
        <v>0</v>
      </c>
      <c r="Z98" s="1">
        <v>0</v>
      </c>
      <c r="AA98" s="1" t="s">
        <v>53</v>
      </c>
      <c r="AB98" s="1" t="s">
        <v>530</v>
      </c>
      <c r="AC98" s="1" t="s">
        <v>53</v>
      </c>
      <c r="AD98" s="1" t="s">
        <v>524</v>
      </c>
      <c r="AE98" s="1" t="s">
        <v>944</v>
      </c>
      <c r="AF98" s="11"/>
      <c r="AG98" s="11"/>
      <c r="AH98" s="11"/>
      <c r="AI98" s="11"/>
      <c r="AJ98" s="11"/>
      <c r="AK98" s="11"/>
      <c r="AL98" s="11"/>
      <c r="AM98" s="11"/>
      <c r="AN98" s="11"/>
      <c r="AO98" s="11"/>
      <c r="AP98" s="11"/>
      <c r="AQ98" s="11"/>
      <c r="AR98" s="130"/>
      <c r="AS98" s="11"/>
      <c r="AT98" s="11"/>
      <c r="AU98" s="11"/>
      <c r="AV98" s="11"/>
      <c r="AW98" s="11"/>
      <c r="AX98" s="11"/>
      <c r="AY98" s="11"/>
      <c r="AZ98" s="11"/>
      <c r="BA98" s="11"/>
      <c r="BB98" s="11"/>
      <c r="BC98" s="11"/>
      <c r="BD98" s="11"/>
      <c r="BE98" s="130"/>
      <c r="BF98" s="11"/>
      <c r="BG98" s="11"/>
      <c r="BH98" s="11"/>
      <c r="BI98" s="11"/>
      <c r="BJ98" s="11"/>
      <c r="BK98" s="11"/>
      <c r="BL98" s="11"/>
      <c r="BM98" s="11"/>
      <c r="BN98" s="11"/>
      <c r="BO98" s="11"/>
      <c r="BP98" s="11"/>
      <c r="BQ98" s="11"/>
      <c r="BR98" s="127"/>
      <c r="BS98" s="19"/>
      <c r="BT98" s="19"/>
      <c r="BU98" s="19"/>
      <c r="BV98" s="19"/>
      <c r="BW98" s="19"/>
      <c r="BX98" s="19"/>
      <c r="BY98" s="19"/>
      <c r="BZ98" s="19"/>
      <c r="CA98" s="19"/>
      <c r="CB98" s="19"/>
      <c r="CC98" s="19"/>
      <c r="CD98" s="19"/>
      <c r="CE98" s="19"/>
      <c r="CF98" s="19"/>
      <c r="CG98" s="19"/>
      <c r="CH98" s="19"/>
      <c r="CI98" s="19"/>
      <c r="CJ98" s="19"/>
      <c r="CK98" s="19"/>
      <c r="CL98" s="19"/>
      <c r="CM98" s="19"/>
      <c r="CN98" s="19"/>
      <c r="CO98" s="19"/>
      <c r="CP98" s="19"/>
      <c r="CQ98" s="19"/>
      <c r="CR98" s="19"/>
      <c r="CS98" s="19"/>
      <c r="CT98" s="19"/>
      <c r="CU98" s="19"/>
      <c r="CV98" s="19"/>
      <c r="CW98" s="19"/>
      <c r="CX98" s="19"/>
      <c r="CY98" s="19"/>
      <c r="CZ98" s="19"/>
      <c r="DA98" s="19"/>
      <c r="DB98" s="19"/>
      <c r="DO98" s="1">
        <f t="shared" si="7"/>
        <v>0</v>
      </c>
      <c r="DP98" s="526"/>
    </row>
    <row r="99" spans="1:120" s="1" customFormat="1" ht="25.9" customHeight="1" x14ac:dyDescent="0.2">
      <c r="A99" s="6" t="s">
        <v>945</v>
      </c>
      <c r="B99" s="33" t="s">
        <v>57</v>
      </c>
      <c r="C99" s="1" t="s">
        <v>946</v>
      </c>
      <c r="D99" s="1" t="s">
        <v>947</v>
      </c>
      <c r="E99" s="1" t="s">
        <v>948</v>
      </c>
      <c r="F99" s="33" t="s">
        <v>49</v>
      </c>
      <c r="G99" s="33" t="s">
        <v>328</v>
      </c>
      <c r="H99" s="1" t="s">
        <v>389</v>
      </c>
      <c r="I99" s="115">
        <v>42425</v>
      </c>
      <c r="J99" s="115">
        <v>42440</v>
      </c>
      <c r="K99" s="1">
        <v>2384949.09</v>
      </c>
      <c r="L99" s="1">
        <v>2384949.09</v>
      </c>
      <c r="M99" s="1">
        <f t="shared" si="8"/>
        <v>0</v>
      </c>
      <c r="P99" s="1">
        <f t="shared" si="9"/>
        <v>0</v>
      </c>
      <c r="S99" s="1">
        <f t="shared" si="10"/>
        <v>0</v>
      </c>
      <c r="U99" s="1">
        <v>0</v>
      </c>
      <c r="X99" s="1" t="s">
        <v>517</v>
      </c>
      <c r="Y99" s="1">
        <v>0</v>
      </c>
      <c r="Z99" s="1">
        <v>0</v>
      </c>
      <c r="AA99" s="1" t="s">
        <v>53</v>
      </c>
      <c r="AB99" s="1" t="s">
        <v>530</v>
      </c>
      <c r="AC99" s="1" t="s">
        <v>53</v>
      </c>
      <c r="AD99" s="1" t="s">
        <v>524</v>
      </c>
      <c r="AE99" s="1" t="s">
        <v>949</v>
      </c>
      <c r="AF99" s="11"/>
      <c r="AG99" s="11"/>
      <c r="AH99" s="11"/>
      <c r="AI99" s="11"/>
      <c r="AJ99" s="11"/>
      <c r="AK99" s="11"/>
      <c r="AL99" s="11"/>
      <c r="AM99" s="11"/>
      <c r="AN99" s="11"/>
      <c r="AO99" s="11"/>
      <c r="AP99" s="11"/>
      <c r="AQ99" s="11"/>
      <c r="AR99" s="130"/>
      <c r="AS99" s="11"/>
      <c r="AT99" s="11"/>
      <c r="AU99" s="11"/>
      <c r="AV99" s="11"/>
      <c r="AW99" s="11"/>
      <c r="AX99" s="11"/>
      <c r="AY99" s="11"/>
      <c r="AZ99" s="11"/>
      <c r="BA99" s="11"/>
      <c r="BB99" s="11"/>
      <c r="BC99" s="11"/>
      <c r="BD99" s="11"/>
      <c r="BE99" s="130"/>
      <c r="BF99" s="11"/>
      <c r="BG99" s="11"/>
      <c r="BH99" s="11"/>
      <c r="BI99" s="11"/>
      <c r="BJ99" s="11"/>
      <c r="BK99" s="11"/>
      <c r="BL99" s="11"/>
      <c r="BM99" s="11"/>
      <c r="BN99" s="11"/>
      <c r="BO99" s="11"/>
      <c r="BP99" s="11"/>
      <c r="BQ99" s="11"/>
      <c r="BR99" s="127"/>
      <c r="BS99" s="19"/>
      <c r="BT99" s="19"/>
      <c r="BU99" s="19"/>
      <c r="BV99" s="19"/>
      <c r="BW99" s="19"/>
      <c r="BX99" s="19"/>
      <c r="BY99" s="19"/>
      <c r="BZ99" s="19"/>
      <c r="CA99" s="19"/>
      <c r="CB99" s="19"/>
      <c r="CC99" s="19"/>
      <c r="CD99" s="19"/>
      <c r="CE99" s="19"/>
      <c r="CF99" s="19"/>
      <c r="CG99" s="19"/>
      <c r="CH99" s="19"/>
      <c r="CI99" s="19"/>
      <c r="CJ99" s="19"/>
      <c r="CK99" s="19"/>
      <c r="CL99" s="19"/>
      <c r="CM99" s="19"/>
      <c r="CN99" s="19"/>
      <c r="CO99" s="19"/>
      <c r="CP99" s="19"/>
      <c r="CQ99" s="19"/>
      <c r="CR99" s="19"/>
      <c r="CS99" s="19"/>
      <c r="CT99" s="19"/>
      <c r="CU99" s="19"/>
      <c r="CV99" s="19"/>
      <c r="CW99" s="19"/>
      <c r="CX99" s="19"/>
      <c r="CY99" s="19"/>
      <c r="CZ99" s="19"/>
      <c r="DA99" s="19"/>
      <c r="DB99" s="19"/>
      <c r="DO99" s="1">
        <f t="shared" si="7"/>
        <v>0</v>
      </c>
      <c r="DP99" s="526"/>
    </row>
    <row r="100" spans="1:120" s="1" customFormat="1" ht="25.9" customHeight="1" x14ac:dyDescent="0.2">
      <c r="A100" s="6" t="s">
        <v>950</v>
      </c>
      <c r="B100" s="33" t="s">
        <v>57</v>
      </c>
      <c r="C100" s="1" t="s">
        <v>951</v>
      </c>
      <c r="D100" s="1" t="s">
        <v>952</v>
      </c>
      <c r="E100" s="1" t="s">
        <v>953</v>
      </c>
      <c r="F100" s="33" t="s">
        <v>49</v>
      </c>
      <c r="G100" s="33" t="s">
        <v>315</v>
      </c>
      <c r="H100" s="1" t="s">
        <v>61</v>
      </c>
      <c r="I100" s="115">
        <v>42425</v>
      </c>
      <c r="J100" s="115">
        <v>42729</v>
      </c>
      <c r="K100" s="1">
        <v>2130706.5099999998</v>
      </c>
      <c r="L100" s="1">
        <v>2008623.8800000001</v>
      </c>
      <c r="M100" s="1">
        <f t="shared" ref="M100:M116" si="11">AR100</f>
        <v>0</v>
      </c>
      <c r="P100" s="1">
        <f t="shared" ref="P100:P115" si="12">BE101</f>
        <v>0</v>
      </c>
      <c r="S100" s="1">
        <f t="shared" ref="S100:S116" si="13">BR100</f>
        <v>0</v>
      </c>
      <c r="U100" s="1">
        <v>122082.62999999966</v>
      </c>
      <c r="X100" s="1" t="s">
        <v>517</v>
      </c>
      <c r="Y100" s="1">
        <v>0</v>
      </c>
      <c r="Z100" s="1">
        <v>0</v>
      </c>
      <c r="AA100" s="1" t="s">
        <v>53</v>
      </c>
      <c r="AB100" s="1" t="s">
        <v>530</v>
      </c>
      <c r="AC100" s="1" t="s">
        <v>53</v>
      </c>
      <c r="AD100" s="1" t="s">
        <v>524</v>
      </c>
      <c r="AE100" s="1" t="s">
        <v>954</v>
      </c>
      <c r="AF100" s="11"/>
      <c r="AG100" s="11"/>
      <c r="AH100" s="11"/>
      <c r="AI100" s="11"/>
      <c r="AJ100" s="11"/>
      <c r="AK100" s="11"/>
      <c r="AL100" s="11"/>
      <c r="AM100" s="11"/>
      <c r="AN100" s="11"/>
      <c r="AO100" s="11"/>
      <c r="AP100" s="11"/>
      <c r="AQ100" s="11"/>
      <c r="AR100" s="130"/>
      <c r="AS100" s="11"/>
      <c r="AT100" s="11"/>
      <c r="AU100" s="11"/>
      <c r="AV100" s="11"/>
      <c r="AW100" s="11"/>
      <c r="AX100" s="11"/>
      <c r="AY100" s="11"/>
      <c r="AZ100" s="11"/>
      <c r="BA100" s="11"/>
      <c r="BB100" s="11"/>
      <c r="BC100" s="11"/>
      <c r="BD100" s="11"/>
      <c r="BE100" s="130"/>
      <c r="BF100" s="11"/>
      <c r="BG100" s="11"/>
      <c r="BH100" s="11"/>
      <c r="BI100" s="11"/>
      <c r="BJ100" s="11"/>
      <c r="BK100" s="11"/>
      <c r="BL100" s="11"/>
      <c r="BM100" s="11"/>
      <c r="BN100" s="11"/>
      <c r="BO100" s="11"/>
      <c r="BP100" s="11"/>
      <c r="BQ100" s="11"/>
      <c r="BR100" s="127"/>
      <c r="BS100" s="19"/>
      <c r="BT100" s="19"/>
      <c r="BU100" s="19"/>
      <c r="BV100" s="19"/>
      <c r="BW100" s="19"/>
      <c r="BX100" s="19"/>
      <c r="BY100" s="19"/>
      <c r="BZ100" s="19"/>
      <c r="CA100" s="19"/>
      <c r="CB100" s="19"/>
      <c r="CC100" s="19"/>
      <c r="CD100" s="19"/>
      <c r="CE100" s="19"/>
      <c r="CF100" s="19"/>
      <c r="CG100" s="19"/>
      <c r="CH100" s="19"/>
      <c r="CI100" s="19"/>
      <c r="CJ100" s="19"/>
      <c r="CK100" s="19"/>
      <c r="CL100" s="19"/>
      <c r="CM100" s="19"/>
      <c r="CN100" s="19"/>
      <c r="CO100" s="19"/>
      <c r="CP100" s="19"/>
      <c r="CQ100" s="19"/>
      <c r="CR100" s="19"/>
      <c r="CS100" s="19"/>
      <c r="CT100" s="19"/>
      <c r="CU100" s="19"/>
      <c r="CV100" s="19"/>
      <c r="CW100" s="19"/>
      <c r="CX100" s="19"/>
      <c r="CY100" s="19"/>
      <c r="CZ100" s="19"/>
      <c r="DA100" s="19"/>
      <c r="DB100" s="19"/>
      <c r="DO100" s="1">
        <f t="shared" si="7"/>
        <v>0</v>
      </c>
      <c r="DP100" s="526"/>
    </row>
    <row r="101" spans="1:120" s="1" customFormat="1" ht="25.9" customHeight="1" x14ac:dyDescent="0.2">
      <c r="A101" s="6" t="s">
        <v>955</v>
      </c>
      <c r="B101" s="33" t="s">
        <v>57</v>
      </c>
      <c r="C101" s="1" t="s">
        <v>956</v>
      </c>
      <c r="D101" s="1" t="s">
        <v>957</v>
      </c>
      <c r="E101" s="1" t="s">
        <v>958</v>
      </c>
      <c r="F101" s="33" t="s">
        <v>49</v>
      </c>
      <c r="G101" s="33" t="s">
        <v>315</v>
      </c>
      <c r="H101" s="1" t="s">
        <v>61</v>
      </c>
      <c r="I101" s="115">
        <v>42488</v>
      </c>
      <c r="J101" s="115">
        <v>42853</v>
      </c>
      <c r="K101" s="1">
        <v>3727646.67</v>
      </c>
      <c r="L101" s="1">
        <v>4262341.2</v>
      </c>
      <c r="M101" s="1">
        <f t="shared" si="11"/>
        <v>0</v>
      </c>
      <c r="P101" s="1">
        <f t="shared" si="12"/>
        <v>0</v>
      </c>
      <c r="S101" s="1">
        <f t="shared" si="13"/>
        <v>0</v>
      </c>
      <c r="U101" s="1">
        <v>-534694.53000000026</v>
      </c>
      <c r="X101" s="1" t="s">
        <v>517</v>
      </c>
      <c r="Y101" s="1">
        <v>0</v>
      </c>
      <c r="Z101" s="1">
        <v>0</v>
      </c>
      <c r="AA101" s="1" t="s">
        <v>53</v>
      </c>
      <c r="AB101" s="1" t="s">
        <v>530</v>
      </c>
      <c r="AC101" s="1" t="s">
        <v>53</v>
      </c>
      <c r="AD101" s="1" t="s">
        <v>524</v>
      </c>
      <c r="AE101" s="1" t="s">
        <v>959</v>
      </c>
      <c r="AF101" s="11"/>
      <c r="AG101" s="11"/>
      <c r="AH101" s="11"/>
      <c r="AI101" s="11"/>
      <c r="AJ101" s="11"/>
      <c r="AK101" s="11"/>
      <c r="AL101" s="11"/>
      <c r="AM101" s="11"/>
      <c r="AN101" s="11"/>
      <c r="AO101" s="11"/>
      <c r="AP101" s="11"/>
      <c r="AQ101" s="11"/>
      <c r="AR101" s="130"/>
      <c r="AS101" s="11"/>
      <c r="AT101" s="11"/>
      <c r="AU101" s="11"/>
      <c r="AV101" s="11"/>
      <c r="AW101" s="11"/>
      <c r="AX101" s="11"/>
      <c r="AY101" s="11"/>
      <c r="AZ101" s="11"/>
      <c r="BA101" s="11"/>
      <c r="BB101" s="11"/>
      <c r="BC101" s="11"/>
      <c r="BD101" s="11"/>
      <c r="BE101" s="130"/>
      <c r="BF101" s="11"/>
      <c r="BG101" s="11"/>
      <c r="BH101" s="11"/>
      <c r="BI101" s="11"/>
      <c r="BJ101" s="11"/>
      <c r="BK101" s="11"/>
      <c r="BL101" s="11"/>
      <c r="BM101" s="11"/>
      <c r="BN101" s="11"/>
      <c r="BO101" s="11"/>
      <c r="BP101" s="11"/>
      <c r="BQ101" s="11"/>
      <c r="BR101" s="127"/>
      <c r="BS101" s="19"/>
      <c r="BT101" s="19"/>
      <c r="BU101" s="19"/>
      <c r="BV101" s="19"/>
      <c r="BW101" s="19"/>
      <c r="BX101" s="19"/>
      <c r="BY101" s="19"/>
      <c r="BZ101" s="19"/>
      <c r="CA101" s="19"/>
      <c r="CB101" s="19"/>
      <c r="CC101" s="19"/>
      <c r="CD101" s="19"/>
      <c r="CE101" s="19"/>
      <c r="CF101" s="19"/>
      <c r="CG101" s="19"/>
      <c r="CH101" s="19"/>
      <c r="CI101" s="19"/>
      <c r="CJ101" s="19"/>
      <c r="CK101" s="19"/>
      <c r="CL101" s="19"/>
      <c r="CM101" s="19"/>
      <c r="CN101" s="19"/>
      <c r="CO101" s="19"/>
      <c r="CP101" s="19"/>
      <c r="CQ101" s="19"/>
      <c r="CR101" s="19"/>
      <c r="CS101" s="19"/>
      <c r="CT101" s="19"/>
      <c r="CU101" s="19"/>
      <c r="CV101" s="19"/>
      <c r="CW101" s="19"/>
      <c r="CX101" s="19"/>
      <c r="CY101" s="19"/>
      <c r="CZ101" s="19"/>
      <c r="DA101" s="19"/>
      <c r="DB101" s="19"/>
      <c r="DO101" s="1">
        <f t="shared" si="7"/>
        <v>0</v>
      </c>
      <c r="DP101" s="526"/>
    </row>
    <row r="102" spans="1:120" s="1" customFormat="1" ht="25.9" customHeight="1" x14ac:dyDescent="0.2">
      <c r="A102" s="6" t="s">
        <v>960</v>
      </c>
      <c r="B102" s="33" t="s">
        <v>57</v>
      </c>
      <c r="C102" s="1" t="s">
        <v>961</v>
      </c>
      <c r="D102" s="1" t="s">
        <v>727</v>
      </c>
      <c r="E102" s="1" t="s">
        <v>728</v>
      </c>
      <c r="F102" s="33" t="s">
        <v>49</v>
      </c>
      <c r="G102" s="33" t="s">
        <v>315</v>
      </c>
      <c r="H102" s="1" t="s">
        <v>61</v>
      </c>
      <c r="I102" s="115">
        <v>42333</v>
      </c>
      <c r="J102" s="115">
        <v>42699</v>
      </c>
      <c r="K102" s="1">
        <v>2040024.88</v>
      </c>
      <c r="L102" s="1">
        <v>2039938.06</v>
      </c>
      <c r="M102" s="1">
        <f t="shared" si="11"/>
        <v>0</v>
      </c>
      <c r="P102" s="1">
        <f t="shared" si="12"/>
        <v>0</v>
      </c>
      <c r="S102" s="1">
        <f t="shared" si="13"/>
        <v>0</v>
      </c>
      <c r="U102" s="1">
        <v>86.819999999832362</v>
      </c>
      <c r="X102" s="1" t="s">
        <v>517</v>
      </c>
      <c r="Y102" s="1">
        <v>0</v>
      </c>
      <c r="Z102" s="1">
        <v>0</v>
      </c>
      <c r="AA102" s="1" t="s">
        <v>53</v>
      </c>
      <c r="AB102" s="1" t="s">
        <v>53</v>
      </c>
      <c r="AC102" s="1" t="s">
        <v>53</v>
      </c>
      <c r="AD102" s="1" t="s">
        <v>962</v>
      </c>
      <c r="AE102" s="1" t="s">
        <v>963</v>
      </c>
      <c r="AF102" s="11"/>
      <c r="AG102" s="11"/>
      <c r="AH102" s="11"/>
      <c r="AI102" s="11"/>
      <c r="AJ102" s="11"/>
      <c r="AK102" s="11"/>
      <c r="AL102" s="11"/>
      <c r="AM102" s="11"/>
      <c r="AN102" s="11"/>
      <c r="AO102" s="11"/>
      <c r="AP102" s="11"/>
      <c r="AQ102" s="11"/>
      <c r="AR102" s="130"/>
      <c r="AS102" s="11"/>
      <c r="AT102" s="11"/>
      <c r="AU102" s="11"/>
      <c r="AV102" s="11"/>
      <c r="AW102" s="11"/>
      <c r="AX102" s="11"/>
      <c r="AY102" s="11"/>
      <c r="AZ102" s="11"/>
      <c r="BA102" s="11"/>
      <c r="BB102" s="11"/>
      <c r="BC102" s="11"/>
      <c r="BD102" s="11"/>
      <c r="BE102" s="130"/>
      <c r="BF102" s="11"/>
      <c r="BG102" s="11"/>
      <c r="BH102" s="11"/>
      <c r="BI102" s="11"/>
      <c r="BJ102" s="11"/>
      <c r="BK102" s="11"/>
      <c r="BL102" s="11"/>
      <c r="BM102" s="11"/>
      <c r="BN102" s="11"/>
      <c r="BO102" s="11"/>
      <c r="BP102" s="11"/>
      <c r="BQ102" s="11"/>
      <c r="BR102" s="127"/>
      <c r="BS102" s="19"/>
      <c r="BT102" s="19"/>
      <c r="BU102" s="19"/>
      <c r="BV102" s="19"/>
      <c r="BW102" s="19"/>
      <c r="BX102" s="19"/>
      <c r="BY102" s="19"/>
      <c r="BZ102" s="19"/>
      <c r="CA102" s="19"/>
      <c r="CB102" s="19"/>
      <c r="CC102" s="19"/>
      <c r="CD102" s="19"/>
      <c r="CE102" s="19"/>
      <c r="CF102" s="19"/>
      <c r="CG102" s="19"/>
      <c r="CH102" s="19"/>
      <c r="CI102" s="19"/>
      <c r="CJ102" s="19"/>
      <c r="CK102" s="19"/>
      <c r="CL102" s="19"/>
      <c r="CM102" s="19"/>
      <c r="CN102" s="19"/>
      <c r="CO102" s="19"/>
      <c r="CP102" s="19"/>
      <c r="CQ102" s="19"/>
      <c r="CR102" s="19"/>
      <c r="CS102" s="19"/>
      <c r="CT102" s="19"/>
      <c r="CU102" s="19"/>
      <c r="CV102" s="19"/>
      <c r="CW102" s="19"/>
      <c r="CX102" s="19"/>
      <c r="CY102" s="19"/>
      <c r="CZ102" s="19"/>
      <c r="DA102" s="19"/>
      <c r="DB102" s="19"/>
      <c r="DO102" s="1">
        <f t="shared" si="7"/>
        <v>0</v>
      </c>
      <c r="DP102" s="526"/>
    </row>
    <row r="103" spans="1:120" s="1" customFormat="1" ht="25.9" customHeight="1" x14ac:dyDescent="0.2">
      <c r="A103" s="6" t="s">
        <v>964</v>
      </c>
      <c r="B103" s="33" t="s">
        <v>57</v>
      </c>
      <c r="C103" s="1" t="s">
        <v>965</v>
      </c>
      <c r="D103" s="1" t="s">
        <v>708</v>
      </c>
      <c r="E103" s="1" t="s">
        <v>966</v>
      </c>
      <c r="F103" s="33" t="s">
        <v>49</v>
      </c>
      <c r="G103" s="33" t="s">
        <v>315</v>
      </c>
      <c r="H103" s="1" t="s">
        <v>563</v>
      </c>
      <c r="I103" s="115">
        <v>42249</v>
      </c>
      <c r="J103" s="115">
        <v>42615</v>
      </c>
      <c r="K103" s="1">
        <v>594263.76</v>
      </c>
      <c r="L103" s="1">
        <v>570574.18999999994</v>
      </c>
      <c r="M103" s="1">
        <f t="shared" si="11"/>
        <v>0</v>
      </c>
      <c r="P103" s="1">
        <f t="shared" si="12"/>
        <v>0</v>
      </c>
      <c r="S103" s="1">
        <f t="shared" si="13"/>
        <v>0</v>
      </c>
      <c r="U103" s="1">
        <v>23689.570000000065</v>
      </c>
      <c r="X103" s="1" t="s">
        <v>517</v>
      </c>
      <c r="Y103" s="1">
        <v>0</v>
      </c>
      <c r="Z103" s="1">
        <v>0</v>
      </c>
      <c r="AA103" s="1" t="s">
        <v>53</v>
      </c>
      <c r="AB103" s="1" t="s">
        <v>53</v>
      </c>
      <c r="AC103" s="1" t="s">
        <v>53</v>
      </c>
      <c r="AD103" s="1" t="s">
        <v>962</v>
      </c>
      <c r="AE103" s="1" t="s">
        <v>967</v>
      </c>
      <c r="AF103" s="11"/>
      <c r="AG103" s="11"/>
      <c r="AH103" s="11"/>
      <c r="AI103" s="11"/>
      <c r="AJ103" s="11"/>
      <c r="AK103" s="11"/>
      <c r="AL103" s="11"/>
      <c r="AM103" s="11"/>
      <c r="AN103" s="11"/>
      <c r="AO103" s="11"/>
      <c r="AP103" s="11"/>
      <c r="AQ103" s="11"/>
      <c r="AR103" s="130"/>
      <c r="AS103" s="11"/>
      <c r="AT103" s="11"/>
      <c r="AU103" s="11"/>
      <c r="AV103" s="11"/>
      <c r="AW103" s="11"/>
      <c r="AX103" s="11"/>
      <c r="AY103" s="11"/>
      <c r="AZ103" s="11"/>
      <c r="BA103" s="11"/>
      <c r="BB103" s="11"/>
      <c r="BC103" s="11"/>
      <c r="BD103" s="11"/>
      <c r="BE103" s="130"/>
      <c r="BF103" s="11"/>
      <c r="BG103" s="11"/>
      <c r="BH103" s="11"/>
      <c r="BI103" s="11"/>
      <c r="BJ103" s="11"/>
      <c r="BK103" s="11"/>
      <c r="BL103" s="11"/>
      <c r="BM103" s="11"/>
      <c r="BN103" s="11"/>
      <c r="BO103" s="11"/>
      <c r="BP103" s="11"/>
      <c r="BQ103" s="11"/>
      <c r="BR103" s="127"/>
      <c r="BS103" s="19"/>
      <c r="BT103" s="19"/>
      <c r="BU103" s="19"/>
      <c r="BV103" s="19"/>
      <c r="BW103" s="19"/>
      <c r="BX103" s="19"/>
      <c r="BY103" s="19"/>
      <c r="BZ103" s="19"/>
      <c r="CA103" s="19"/>
      <c r="CB103" s="19"/>
      <c r="CC103" s="19"/>
      <c r="CD103" s="19"/>
      <c r="CE103" s="19"/>
      <c r="CF103" s="19"/>
      <c r="CG103" s="19"/>
      <c r="CH103" s="19"/>
      <c r="CI103" s="19"/>
      <c r="CJ103" s="19"/>
      <c r="CK103" s="19"/>
      <c r="CL103" s="19"/>
      <c r="CM103" s="19"/>
      <c r="CN103" s="19"/>
      <c r="CO103" s="19"/>
      <c r="CP103" s="19"/>
      <c r="CQ103" s="19"/>
      <c r="CR103" s="19"/>
      <c r="CS103" s="19"/>
      <c r="CT103" s="19"/>
      <c r="CU103" s="19"/>
      <c r="CV103" s="19"/>
      <c r="CW103" s="19"/>
      <c r="CX103" s="19"/>
      <c r="CY103" s="19"/>
      <c r="CZ103" s="19"/>
      <c r="DA103" s="19"/>
      <c r="DB103" s="19"/>
      <c r="DO103" s="1">
        <f t="shared" si="7"/>
        <v>0</v>
      </c>
      <c r="DP103" s="526"/>
    </row>
    <row r="104" spans="1:120" s="1" customFormat="1" ht="25.9" customHeight="1" x14ac:dyDescent="0.2">
      <c r="A104" s="6" t="s">
        <v>968</v>
      </c>
      <c r="B104" s="33" t="s">
        <v>57</v>
      </c>
      <c r="C104" s="118" t="s">
        <v>969</v>
      </c>
      <c r="D104" s="1" t="s">
        <v>617</v>
      </c>
      <c r="E104" s="1" t="s">
        <v>110</v>
      </c>
      <c r="F104" s="33" t="s">
        <v>49</v>
      </c>
      <c r="G104" s="33" t="s">
        <v>315</v>
      </c>
      <c r="H104" s="1" t="s">
        <v>61</v>
      </c>
      <c r="I104" s="115">
        <v>42507</v>
      </c>
      <c r="J104" s="115">
        <v>42691</v>
      </c>
      <c r="K104" s="1">
        <v>3370062.3</v>
      </c>
      <c r="L104" s="1">
        <v>3342881.2799999993</v>
      </c>
      <c r="M104" s="1">
        <f t="shared" si="11"/>
        <v>0</v>
      </c>
      <c r="P104" s="1">
        <f t="shared" si="12"/>
        <v>0</v>
      </c>
      <c r="S104" s="1">
        <f t="shared" si="13"/>
        <v>0</v>
      </c>
      <c r="U104" s="1">
        <v>27181.020000000484</v>
      </c>
      <c r="X104" s="1" t="s">
        <v>517</v>
      </c>
      <c r="Y104" s="1">
        <v>0</v>
      </c>
      <c r="Z104" s="1">
        <v>0</v>
      </c>
      <c r="AA104" s="1" t="s">
        <v>53</v>
      </c>
      <c r="AB104" s="1" t="s">
        <v>53</v>
      </c>
      <c r="AC104" s="1" t="s">
        <v>53</v>
      </c>
      <c r="AD104" s="1" t="s">
        <v>962</v>
      </c>
      <c r="AE104" s="1" t="s">
        <v>970</v>
      </c>
      <c r="AF104" s="11"/>
      <c r="AG104" s="11"/>
      <c r="AH104" s="11"/>
      <c r="AI104" s="11"/>
      <c r="AJ104" s="11"/>
      <c r="AK104" s="11"/>
      <c r="AL104" s="11"/>
      <c r="AM104" s="11"/>
      <c r="AN104" s="11"/>
      <c r="AO104" s="11"/>
      <c r="AP104" s="11"/>
      <c r="AQ104" s="11"/>
      <c r="AR104" s="130"/>
      <c r="AS104" s="11"/>
      <c r="AT104" s="11"/>
      <c r="AU104" s="11"/>
      <c r="AV104" s="11"/>
      <c r="AW104" s="11"/>
      <c r="AX104" s="11"/>
      <c r="AY104" s="11"/>
      <c r="AZ104" s="11"/>
      <c r="BA104" s="11"/>
      <c r="BB104" s="11"/>
      <c r="BC104" s="11"/>
      <c r="BD104" s="11"/>
      <c r="BE104" s="130"/>
      <c r="BF104" s="11"/>
      <c r="BG104" s="11"/>
      <c r="BH104" s="11"/>
      <c r="BI104" s="11"/>
      <c r="BJ104" s="11"/>
      <c r="BK104" s="11"/>
      <c r="BL104" s="11"/>
      <c r="BM104" s="11"/>
      <c r="BN104" s="11"/>
      <c r="BO104" s="11"/>
      <c r="BP104" s="11"/>
      <c r="BQ104" s="11"/>
      <c r="BR104" s="111"/>
      <c r="BS104" s="19"/>
      <c r="BT104" s="19"/>
      <c r="BU104" s="19"/>
      <c r="BV104" s="19"/>
      <c r="BW104" s="19"/>
      <c r="BX104" s="19"/>
      <c r="BY104" s="19"/>
      <c r="BZ104" s="19"/>
      <c r="CA104" s="19"/>
      <c r="CB104" s="19"/>
      <c r="CC104" s="19"/>
      <c r="CD104" s="19"/>
      <c r="CE104" s="19"/>
      <c r="CF104" s="19"/>
      <c r="CG104" s="19"/>
      <c r="CH104" s="19"/>
      <c r="CI104" s="19"/>
      <c r="CJ104" s="19"/>
      <c r="CK104" s="19"/>
      <c r="CL104" s="19"/>
      <c r="CM104" s="19"/>
      <c r="CN104" s="19"/>
      <c r="CO104" s="19"/>
      <c r="CP104" s="19"/>
      <c r="CQ104" s="19"/>
      <c r="CR104" s="19"/>
      <c r="CS104" s="19"/>
      <c r="CT104" s="19"/>
      <c r="CU104" s="19"/>
      <c r="CV104" s="19"/>
      <c r="CW104" s="19"/>
      <c r="CX104" s="19"/>
      <c r="CY104" s="19"/>
      <c r="CZ104" s="19"/>
      <c r="DA104" s="19"/>
      <c r="DB104" s="19"/>
      <c r="DO104" s="1">
        <f t="shared" si="7"/>
        <v>0</v>
      </c>
      <c r="DP104" s="526"/>
    </row>
    <row r="105" spans="1:120" s="1" customFormat="1" ht="25.9" customHeight="1" x14ac:dyDescent="0.2">
      <c r="A105" s="6" t="s">
        <v>971</v>
      </c>
      <c r="B105" s="33" t="s">
        <v>57</v>
      </c>
      <c r="C105" s="1" t="s">
        <v>972</v>
      </c>
      <c r="D105" s="1" t="s">
        <v>708</v>
      </c>
      <c r="E105" s="1" t="s">
        <v>966</v>
      </c>
      <c r="F105" s="33" t="s">
        <v>49</v>
      </c>
      <c r="G105" s="33" t="s">
        <v>315</v>
      </c>
      <c r="H105" s="1" t="s">
        <v>563</v>
      </c>
      <c r="I105" s="115">
        <v>42361</v>
      </c>
      <c r="J105" s="115">
        <v>42452</v>
      </c>
      <c r="K105" s="1">
        <v>300000</v>
      </c>
      <c r="L105" s="1">
        <v>300000</v>
      </c>
      <c r="M105" s="1">
        <f t="shared" si="11"/>
        <v>0</v>
      </c>
      <c r="P105" s="1">
        <f t="shared" si="12"/>
        <v>0</v>
      </c>
      <c r="S105" s="1">
        <f t="shared" si="13"/>
        <v>0</v>
      </c>
      <c r="U105" s="1">
        <v>0</v>
      </c>
      <c r="X105" s="1" t="s">
        <v>517</v>
      </c>
      <c r="Y105" s="1">
        <v>0</v>
      </c>
      <c r="Z105" s="1">
        <v>0</v>
      </c>
      <c r="AA105" s="1" t="s">
        <v>53</v>
      </c>
      <c r="AB105" s="1" t="s">
        <v>53</v>
      </c>
      <c r="AC105" s="1" t="s">
        <v>53</v>
      </c>
      <c r="AD105" s="1" t="s">
        <v>962</v>
      </c>
      <c r="AE105" s="1" t="s">
        <v>973</v>
      </c>
      <c r="AF105" s="11"/>
      <c r="AG105" s="11"/>
      <c r="AH105" s="11"/>
      <c r="AI105" s="11"/>
      <c r="AJ105" s="11"/>
      <c r="AK105" s="11"/>
      <c r="AL105" s="11"/>
      <c r="AM105" s="11"/>
      <c r="AN105" s="11"/>
      <c r="AO105" s="11"/>
      <c r="AP105" s="11"/>
      <c r="AQ105" s="11"/>
      <c r="AR105" s="130"/>
      <c r="AS105" s="11"/>
      <c r="AT105" s="11"/>
      <c r="AU105" s="11"/>
      <c r="AV105" s="11"/>
      <c r="AW105" s="11"/>
      <c r="AX105" s="11"/>
      <c r="AY105" s="11"/>
      <c r="AZ105" s="11"/>
      <c r="BA105" s="11"/>
      <c r="BB105" s="11"/>
      <c r="BC105" s="11"/>
      <c r="BD105" s="11"/>
      <c r="BE105" s="130"/>
      <c r="BF105" s="11"/>
      <c r="BG105" s="11"/>
      <c r="BH105" s="11"/>
      <c r="BI105" s="11"/>
      <c r="BJ105" s="11"/>
      <c r="BK105" s="11"/>
      <c r="BL105" s="11"/>
      <c r="BM105" s="11"/>
      <c r="BN105" s="11"/>
      <c r="BO105" s="11"/>
      <c r="BP105" s="11"/>
      <c r="BQ105" s="11"/>
      <c r="BR105" s="127"/>
      <c r="BS105" s="19"/>
      <c r="BT105" s="19"/>
      <c r="BU105" s="19"/>
      <c r="BV105" s="19"/>
      <c r="BW105" s="19"/>
      <c r="BX105" s="19"/>
      <c r="BY105" s="19"/>
      <c r="BZ105" s="19"/>
      <c r="CA105" s="19"/>
      <c r="CB105" s="19"/>
      <c r="CC105" s="19"/>
      <c r="CD105" s="19"/>
      <c r="CE105" s="19"/>
      <c r="CF105" s="19"/>
      <c r="CG105" s="19"/>
      <c r="CH105" s="19"/>
      <c r="CI105" s="19"/>
      <c r="CJ105" s="19"/>
      <c r="CK105" s="19"/>
      <c r="CL105" s="19"/>
      <c r="CM105" s="19"/>
      <c r="CN105" s="19"/>
      <c r="CO105" s="19"/>
      <c r="CP105" s="19"/>
      <c r="CQ105" s="19"/>
      <c r="CR105" s="19"/>
      <c r="CS105" s="19"/>
      <c r="CT105" s="19"/>
      <c r="CU105" s="19"/>
      <c r="CV105" s="19"/>
      <c r="CW105" s="19"/>
      <c r="CX105" s="19"/>
      <c r="CY105" s="19"/>
      <c r="CZ105" s="19"/>
      <c r="DA105" s="19"/>
      <c r="DB105" s="19"/>
      <c r="DO105" s="1">
        <f t="shared" si="7"/>
        <v>0</v>
      </c>
      <c r="DP105" s="526"/>
    </row>
    <row r="106" spans="1:120" s="1" customFormat="1" ht="25.9" customHeight="1" x14ac:dyDescent="0.2">
      <c r="A106" s="6" t="s">
        <v>974</v>
      </c>
      <c r="B106" s="33" t="s">
        <v>57</v>
      </c>
      <c r="C106" s="1" t="s">
        <v>975</v>
      </c>
      <c r="D106" s="1" t="s">
        <v>145</v>
      </c>
      <c r="E106" s="1" t="s">
        <v>146</v>
      </c>
      <c r="F106" s="33" t="s">
        <v>49</v>
      </c>
      <c r="G106" s="33" t="s">
        <v>315</v>
      </c>
      <c r="H106" s="1" t="s">
        <v>61</v>
      </c>
      <c r="I106" s="115">
        <v>42206</v>
      </c>
      <c r="J106" s="115">
        <v>42390</v>
      </c>
      <c r="K106" s="1">
        <v>1993920.19</v>
      </c>
      <c r="L106" s="1">
        <v>1994936.7000000002</v>
      </c>
      <c r="M106" s="1">
        <f t="shared" si="11"/>
        <v>0</v>
      </c>
      <c r="P106" s="1">
        <f t="shared" si="12"/>
        <v>0</v>
      </c>
      <c r="S106" s="1">
        <f t="shared" si="13"/>
        <v>0</v>
      </c>
      <c r="U106" s="1">
        <v>-1016.5100000002421</v>
      </c>
      <c r="X106" s="1" t="s">
        <v>517</v>
      </c>
      <c r="Y106" s="1">
        <v>0</v>
      </c>
      <c r="Z106" s="1">
        <v>0</v>
      </c>
      <c r="AA106" s="1" t="s">
        <v>53</v>
      </c>
      <c r="AB106" s="1" t="s">
        <v>53</v>
      </c>
      <c r="AC106" s="1" t="s">
        <v>53</v>
      </c>
      <c r="AD106" s="1" t="s">
        <v>962</v>
      </c>
      <c r="AE106" s="1" t="s">
        <v>976</v>
      </c>
      <c r="AF106" s="11"/>
      <c r="AG106" s="11"/>
      <c r="AH106" s="11"/>
      <c r="AI106" s="11"/>
      <c r="AJ106" s="11"/>
      <c r="AK106" s="11"/>
      <c r="AL106" s="11"/>
      <c r="AM106" s="11"/>
      <c r="AN106" s="11"/>
      <c r="AO106" s="11"/>
      <c r="AP106" s="11"/>
      <c r="AQ106" s="11"/>
      <c r="AR106" s="130"/>
      <c r="AS106" s="11"/>
      <c r="AT106" s="11"/>
      <c r="AU106" s="11"/>
      <c r="AV106" s="11"/>
      <c r="AW106" s="11"/>
      <c r="AX106" s="11"/>
      <c r="AY106" s="11"/>
      <c r="AZ106" s="11"/>
      <c r="BA106" s="11"/>
      <c r="BB106" s="11"/>
      <c r="BC106" s="11"/>
      <c r="BD106" s="11"/>
      <c r="BE106" s="130"/>
      <c r="BF106" s="11"/>
      <c r="BG106" s="11"/>
      <c r="BH106" s="11"/>
      <c r="BI106" s="11"/>
      <c r="BJ106" s="11"/>
      <c r="BK106" s="11"/>
      <c r="BL106" s="11"/>
      <c r="BM106" s="11"/>
      <c r="BN106" s="11"/>
      <c r="BO106" s="11"/>
      <c r="BP106" s="11"/>
      <c r="BQ106" s="11"/>
      <c r="BR106" s="127"/>
      <c r="BS106" s="19"/>
      <c r="BT106" s="19"/>
      <c r="BU106" s="19"/>
      <c r="BV106" s="19"/>
      <c r="BW106" s="19"/>
      <c r="BX106" s="19"/>
      <c r="BY106" s="19"/>
      <c r="BZ106" s="19"/>
      <c r="CA106" s="19"/>
      <c r="CB106" s="19"/>
      <c r="CC106" s="19"/>
      <c r="CD106" s="19"/>
      <c r="CE106" s="19"/>
      <c r="CF106" s="19"/>
      <c r="CG106" s="19"/>
      <c r="CH106" s="19"/>
      <c r="CI106" s="19"/>
      <c r="CJ106" s="19"/>
      <c r="CK106" s="19"/>
      <c r="CL106" s="19"/>
      <c r="CM106" s="19"/>
      <c r="CN106" s="19"/>
      <c r="CO106" s="19"/>
      <c r="CP106" s="19"/>
      <c r="CQ106" s="19"/>
      <c r="CR106" s="19"/>
      <c r="CS106" s="19"/>
      <c r="CT106" s="19"/>
      <c r="CU106" s="19"/>
      <c r="CV106" s="19"/>
      <c r="CW106" s="19"/>
      <c r="CX106" s="19"/>
      <c r="CY106" s="19"/>
      <c r="CZ106" s="19"/>
      <c r="DA106" s="19"/>
      <c r="DB106" s="19"/>
      <c r="DO106" s="1">
        <f t="shared" si="7"/>
        <v>0</v>
      </c>
      <c r="DP106" s="526"/>
    </row>
    <row r="107" spans="1:120" s="1" customFormat="1" ht="25.9" customHeight="1" x14ac:dyDescent="0.2">
      <c r="A107" s="6" t="s">
        <v>977</v>
      </c>
      <c r="B107" s="33" t="s">
        <v>57</v>
      </c>
      <c r="C107" s="1" t="s">
        <v>978</v>
      </c>
      <c r="D107" s="1" t="s">
        <v>979</v>
      </c>
      <c r="E107" s="1" t="s">
        <v>695</v>
      </c>
      <c r="F107" s="33" t="s">
        <v>49</v>
      </c>
      <c r="G107" s="33" t="s">
        <v>315</v>
      </c>
      <c r="H107" s="1" t="s">
        <v>563</v>
      </c>
      <c r="I107" s="115">
        <v>42233</v>
      </c>
      <c r="J107" s="115">
        <v>42599</v>
      </c>
      <c r="K107" s="1">
        <v>250000</v>
      </c>
      <c r="L107" s="1">
        <v>250000</v>
      </c>
      <c r="M107" s="1">
        <f t="shared" si="11"/>
        <v>0</v>
      </c>
      <c r="P107" s="1">
        <f t="shared" si="12"/>
        <v>0</v>
      </c>
      <c r="S107" s="1">
        <f t="shared" si="13"/>
        <v>0</v>
      </c>
      <c r="U107" s="1">
        <v>0</v>
      </c>
      <c r="X107" s="1" t="s">
        <v>517</v>
      </c>
      <c r="Y107" s="1">
        <v>0</v>
      </c>
      <c r="Z107" s="1">
        <v>0</v>
      </c>
      <c r="AA107" s="1" t="s">
        <v>53</v>
      </c>
      <c r="AB107" s="1" t="s">
        <v>53</v>
      </c>
      <c r="AC107" s="1" t="s">
        <v>53</v>
      </c>
      <c r="AD107" s="1" t="s">
        <v>962</v>
      </c>
      <c r="AE107" s="1" t="s">
        <v>980</v>
      </c>
      <c r="AF107" s="11"/>
      <c r="AG107" s="11"/>
      <c r="AH107" s="11"/>
      <c r="AI107" s="11"/>
      <c r="AJ107" s="11"/>
      <c r="AK107" s="11"/>
      <c r="AL107" s="11"/>
      <c r="AM107" s="11"/>
      <c r="AN107" s="11"/>
      <c r="AO107" s="11"/>
      <c r="AP107" s="11"/>
      <c r="AQ107" s="11"/>
      <c r="AR107" s="130"/>
      <c r="AS107" s="11"/>
      <c r="AT107" s="11"/>
      <c r="AU107" s="11"/>
      <c r="AV107" s="11"/>
      <c r="AW107" s="11"/>
      <c r="AX107" s="11"/>
      <c r="AY107" s="11"/>
      <c r="AZ107" s="11"/>
      <c r="BA107" s="11"/>
      <c r="BB107" s="11"/>
      <c r="BC107" s="11"/>
      <c r="BD107" s="11"/>
      <c r="BE107" s="130"/>
      <c r="BF107" s="11"/>
      <c r="BG107" s="11"/>
      <c r="BH107" s="11"/>
      <c r="BI107" s="11"/>
      <c r="BJ107" s="11"/>
      <c r="BK107" s="11"/>
      <c r="BL107" s="11"/>
      <c r="BM107" s="11"/>
      <c r="BN107" s="11"/>
      <c r="BO107" s="11"/>
      <c r="BP107" s="11"/>
      <c r="BQ107" s="11"/>
      <c r="BR107" s="127"/>
      <c r="BS107" s="19"/>
      <c r="BT107" s="19"/>
      <c r="BU107" s="19"/>
      <c r="BV107" s="19"/>
      <c r="BW107" s="19"/>
      <c r="BX107" s="19"/>
      <c r="BY107" s="19"/>
      <c r="BZ107" s="19"/>
      <c r="CA107" s="19"/>
      <c r="CB107" s="19"/>
      <c r="CC107" s="19"/>
      <c r="CD107" s="19"/>
      <c r="CE107" s="19"/>
      <c r="CF107" s="19"/>
      <c r="CG107" s="19"/>
      <c r="CH107" s="19"/>
      <c r="CI107" s="19"/>
      <c r="CJ107" s="19"/>
      <c r="CK107" s="19"/>
      <c r="CL107" s="19"/>
      <c r="CM107" s="19"/>
      <c r="CN107" s="19"/>
      <c r="CO107" s="19"/>
      <c r="CP107" s="19"/>
      <c r="CQ107" s="19"/>
      <c r="CR107" s="19"/>
      <c r="CS107" s="19"/>
      <c r="CT107" s="19"/>
      <c r="CU107" s="19"/>
      <c r="CV107" s="19"/>
      <c r="CW107" s="19"/>
      <c r="CX107" s="19"/>
      <c r="CY107" s="19"/>
      <c r="CZ107" s="19"/>
      <c r="DA107" s="19"/>
      <c r="DB107" s="19"/>
      <c r="DO107" s="1">
        <f t="shared" si="7"/>
        <v>0</v>
      </c>
      <c r="DP107" s="526"/>
    </row>
    <row r="108" spans="1:120" s="1" customFormat="1" ht="25.9" customHeight="1" x14ac:dyDescent="0.2">
      <c r="A108" s="6" t="s">
        <v>981</v>
      </c>
      <c r="B108" s="33" t="s">
        <v>57</v>
      </c>
      <c r="C108" s="1" t="s">
        <v>982</v>
      </c>
      <c r="D108" s="1" t="s">
        <v>648</v>
      </c>
      <c r="E108" s="1" t="s">
        <v>649</v>
      </c>
      <c r="F108" s="33" t="s">
        <v>49</v>
      </c>
      <c r="G108" s="33" t="s">
        <v>315</v>
      </c>
      <c r="H108" s="1" t="s">
        <v>563</v>
      </c>
      <c r="I108" s="115">
        <v>42307</v>
      </c>
      <c r="J108" s="115">
        <v>42399</v>
      </c>
      <c r="K108" s="1">
        <v>275000</v>
      </c>
      <c r="L108" s="1">
        <v>275000</v>
      </c>
      <c r="M108" s="1">
        <f t="shared" si="11"/>
        <v>0</v>
      </c>
      <c r="P108" s="1">
        <f t="shared" si="12"/>
        <v>0</v>
      </c>
      <c r="S108" s="1">
        <f t="shared" si="13"/>
        <v>0</v>
      </c>
      <c r="U108" s="1">
        <v>0</v>
      </c>
      <c r="X108" s="1" t="s">
        <v>517</v>
      </c>
      <c r="Y108" s="1">
        <v>0</v>
      </c>
      <c r="Z108" s="1">
        <v>0</v>
      </c>
      <c r="AA108" s="1" t="s">
        <v>53</v>
      </c>
      <c r="AB108" s="1" t="s">
        <v>53</v>
      </c>
      <c r="AC108" s="1" t="s">
        <v>53</v>
      </c>
      <c r="AD108" s="1" t="s">
        <v>962</v>
      </c>
      <c r="AE108" s="1" t="s">
        <v>983</v>
      </c>
      <c r="AF108" s="11"/>
      <c r="AG108" s="11"/>
      <c r="AH108" s="11"/>
      <c r="AI108" s="11"/>
      <c r="AJ108" s="11"/>
      <c r="AK108" s="11"/>
      <c r="AL108" s="11"/>
      <c r="AM108" s="11"/>
      <c r="AN108" s="11"/>
      <c r="AO108" s="11"/>
      <c r="AP108" s="11"/>
      <c r="AQ108" s="11"/>
      <c r="AR108" s="130"/>
      <c r="AS108" s="11"/>
      <c r="AT108" s="11"/>
      <c r="AU108" s="11"/>
      <c r="AV108" s="11"/>
      <c r="AW108" s="11"/>
      <c r="AX108" s="11"/>
      <c r="AY108" s="11"/>
      <c r="AZ108" s="11"/>
      <c r="BA108" s="11"/>
      <c r="BB108" s="11"/>
      <c r="BC108" s="11"/>
      <c r="BD108" s="11"/>
      <c r="BE108" s="130"/>
      <c r="BF108" s="11"/>
      <c r="BG108" s="11"/>
      <c r="BH108" s="11"/>
      <c r="BI108" s="11"/>
      <c r="BJ108" s="11"/>
      <c r="BK108" s="11"/>
      <c r="BL108" s="11"/>
      <c r="BM108" s="11"/>
      <c r="BN108" s="11"/>
      <c r="BO108" s="11"/>
      <c r="BP108" s="11"/>
      <c r="BQ108" s="11"/>
      <c r="BR108" s="127"/>
      <c r="BS108" s="19"/>
      <c r="BT108" s="19"/>
      <c r="BU108" s="19"/>
      <c r="BV108" s="19"/>
      <c r="BW108" s="19"/>
      <c r="BX108" s="19"/>
      <c r="BY108" s="19"/>
      <c r="BZ108" s="19"/>
      <c r="CA108" s="19"/>
      <c r="CB108" s="19"/>
      <c r="CC108" s="19"/>
      <c r="CD108" s="19"/>
      <c r="CE108" s="19"/>
      <c r="CF108" s="19"/>
      <c r="CG108" s="19"/>
      <c r="CH108" s="19"/>
      <c r="CI108" s="19"/>
      <c r="CJ108" s="19"/>
      <c r="CK108" s="19"/>
      <c r="CL108" s="19"/>
      <c r="CM108" s="19"/>
      <c r="CN108" s="19"/>
      <c r="CO108" s="19"/>
      <c r="CP108" s="19"/>
      <c r="CQ108" s="19"/>
      <c r="CR108" s="19"/>
      <c r="CS108" s="19"/>
      <c r="CT108" s="19"/>
      <c r="CU108" s="19"/>
      <c r="CV108" s="19"/>
      <c r="CW108" s="19"/>
      <c r="CX108" s="19"/>
      <c r="CY108" s="19"/>
      <c r="CZ108" s="19"/>
      <c r="DA108" s="19"/>
      <c r="DB108" s="19"/>
      <c r="DO108" s="1">
        <f t="shared" si="7"/>
        <v>0</v>
      </c>
      <c r="DP108" s="526"/>
    </row>
    <row r="109" spans="1:120" s="1" customFormat="1" ht="25.9" customHeight="1" x14ac:dyDescent="0.2">
      <c r="A109" s="6" t="s">
        <v>984</v>
      </c>
      <c r="B109" s="33" t="s">
        <v>57</v>
      </c>
      <c r="C109" s="1" t="s">
        <v>985</v>
      </c>
      <c r="D109" s="1" t="s">
        <v>592</v>
      </c>
      <c r="E109" s="1" t="s">
        <v>986</v>
      </c>
      <c r="F109" s="33" t="s">
        <v>49</v>
      </c>
      <c r="G109" s="33" t="s">
        <v>315</v>
      </c>
      <c r="H109" s="1" t="s">
        <v>563</v>
      </c>
      <c r="I109" s="115">
        <v>42307</v>
      </c>
      <c r="J109" s="115">
        <v>42399</v>
      </c>
      <c r="K109" s="1" t="s">
        <v>583</v>
      </c>
      <c r="L109" s="1">
        <v>277753.39999999997</v>
      </c>
      <c r="M109" s="1">
        <f t="shared" si="11"/>
        <v>0</v>
      </c>
      <c r="P109" s="1">
        <f t="shared" si="12"/>
        <v>0</v>
      </c>
      <c r="S109" s="1">
        <f t="shared" si="13"/>
        <v>0</v>
      </c>
      <c r="U109" s="1" t="e">
        <v>#VALUE!</v>
      </c>
      <c r="X109" s="1" t="s">
        <v>517</v>
      </c>
      <c r="Y109" s="1">
        <v>0</v>
      </c>
      <c r="Z109" s="1">
        <v>0</v>
      </c>
      <c r="AA109" s="1" t="s">
        <v>53</v>
      </c>
      <c r="AB109" s="1" t="s">
        <v>53</v>
      </c>
      <c r="AC109" s="1" t="s">
        <v>53</v>
      </c>
      <c r="AD109" s="1" t="s">
        <v>962</v>
      </c>
      <c r="AE109" s="1" t="s">
        <v>987</v>
      </c>
      <c r="AF109" s="11"/>
      <c r="AG109" s="11"/>
      <c r="AH109" s="11"/>
      <c r="AI109" s="11"/>
      <c r="AJ109" s="11"/>
      <c r="AK109" s="11"/>
      <c r="AL109" s="11"/>
      <c r="AM109" s="11"/>
      <c r="AN109" s="11"/>
      <c r="AO109" s="11"/>
      <c r="AP109" s="11"/>
      <c r="AQ109" s="11"/>
      <c r="AR109" s="130"/>
      <c r="AS109" s="11"/>
      <c r="AT109" s="11"/>
      <c r="AU109" s="11"/>
      <c r="AV109" s="11"/>
      <c r="AW109" s="11"/>
      <c r="AX109" s="11"/>
      <c r="AY109" s="11"/>
      <c r="AZ109" s="11"/>
      <c r="BA109" s="11"/>
      <c r="BB109" s="11"/>
      <c r="BC109" s="11"/>
      <c r="BD109" s="11"/>
      <c r="BE109" s="130"/>
      <c r="BF109" s="11"/>
      <c r="BG109" s="11"/>
      <c r="BH109" s="11"/>
      <c r="BI109" s="11"/>
      <c r="BJ109" s="11"/>
      <c r="BK109" s="11"/>
      <c r="BL109" s="11"/>
      <c r="BM109" s="11"/>
      <c r="BN109" s="11"/>
      <c r="BO109" s="11"/>
      <c r="BP109" s="11"/>
      <c r="BQ109" s="11"/>
      <c r="BR109" s="127"/>
      <c r="BS109" s="19"/>
      <c r="BT109" s="19"/>
      <c r="BU109" s="19"/>
      <c r="BV109" s="19"/>
      <c r="BW109" s="19"/>
      <c r="BX109" s="19"/>
      <c r="BY109" s="19"/>
      <c r="BZ109" s="19"/>
      <c r="CA109" s="19"/>
      <c r="CB109" s="19"/>
      <c r="CC109" s="19"/>
      <c r="CD109" s="19"/>
      <c r="CE109" s="19"/>
      <c r="CF109" s="19"/>
      <c r="CG109" s="19"/>
      <c r="CH109" s="19"/>
      <c r="CI109" s="19"/>
      <c r="CJ109" s="19"/>
      <c r="CK109" s="19"/>
      <c r="CL109" s="19"/>
      <c r="CM109" s="19"/>
      <c r="CN109" s="19"/>
      <c r="CO109" s="19"/>
      <c r="CP109" s="19"/>
      <c r="CQ109" s="19"/>
      <c r="CR109" s="19"/>
      <c r="CS109" s="19"/>
      <c r="CT109" s="19"/>
      <c r="CU109" s="19"/>
      <c r="CV109" s="19"/>
      <c r="CW109" s="19"/>
      <c r="CX109" s="19"/>
      <c r="CY109" s="19"/>
      <c r="CZ109" s="19"/>
      <c r="DA109" s="19"/>
      <c r="DB109" s="19"/>
      <c r="DO109" s="1">
        <f t="shared" si="7"/>
        <v>0</v>
      </c>
      <c r="DP109" s="526"/>
    </row>
    <row r="110" spans="1:120" s="1" customFormat="1" ht="25.9" customHeight="1" x14ac:dyDescent="0.2">
      <c r="A110" s="6" t="s">
        <v>988</v>
      </c>
      <c r="B110" s="33" t="s">
        <v>57</v>
      </c>
      <c r="C110" s="1" t="s">
        <v>989</v>
      </c>
      <c r="D110" s="1" t="s">
        <v>648</v>
      </c>
      <c r="E110" s="1" t="s">
        <v>649</v>
      </c>
      <c r="F110" s="33" t="s">
        <v>49</v>
      </c>
      <c r="G110" s="33" t="s">
        <v>315</v>
      </c>
      <c r="H110" s="1" t="s">
        <v>563</v>
      </c>
      <c r="I110" s="115">
        <v>42254</v>
      </c>
      <c r="J110" s="115">
        <v>42345</v>
      </c>
      <c r="K110" s="1">
        <v>275000</v>
      </c>
      <c r="L110" s="1">
        <v>194207</v>
      </c>
      <c r="M110" s="1">
        <f t="shared" si="11"/>
        <v>0</v>
      </c>
      <c r="P110" s="1">
        <f t="shared" si="12"/>
        <v>0</v>
      </c>
      <c r="S110" s="1">
        <f t="shared" si="13"/>
        <v>0</v>
      </c>
      <c r="U110" s="1">
        <v>80793</v>
      </c>
      <c r="X110" s="1" t="s">
        <v>517</v>
      </c>
      <c r="Y110" s="1">
        <v>0</v>
      </c>
      <c r="Z110" s="1">
        <v>0</v>
      </c>
      <c r="AA110" s="1" t="s">
        <v>53</v>
      </c>
      <c r="AB110" s="1" t="s">
        <v>53</v>
      </c>
      <c r="AC110" s="1" t="s">
        <v>53</v>
      </c>
      <c r="AD110" s="1" t="s">
        <v>962</v>
      </c>
      <c r="AE110" s="1" t="s">
        <v>990</v>
      </c>
      <c r="AF110" s="11"/>
      <c r="AG110" s="11"/>
      <c r="AH110" s="11"/>
      <c r="AI110" s="11"/>
      <c r="AJ110" s="11"/>
      <c r="AK110" s="11"/>
      <c r="AL110" s="11"/>
      <c r="AM110" s="11"/>
      <c r="AN110" s="11"/>
      <c r="AO110" s="11"/>
      <c r="AP110" s="11"/>
      <c r="AQ110" s="11"/>
      <c r="AR110" s="130"/>
      <c r="AS110" s="11"/>
      <c r="AT110" s="11"/>
      <c r="AU110" s="11"/>
      <c r="AV110" s="11"/>
      <c r="AW110" s="11"/>
      <c r="AX110" s="11"/>
      <c r="AY110" s="11"/>
      <c r="AZ110" s="11"/>
      <c r="BA110" s="11"/>
      <c r="BB110" s="11"/>
      <c r="BC110" s="11"/>
      <c r="BD110" s="11"/>
      <c r="BE110" s="130"/>
      <c r="BF110" s="11"/>
      <c r="BG110" s="11"/>
      <c r="BH110" s="11"/>
      <c r="BI110" s="11"/>
      <c r="BJ110" s="11"/>
      <c r="BK110" s="11"/>
      <c r="BL110" s="11"/>
      <c r="BM110" s="11"/>
      <c r="BN110" s="11"/>
      <c r="BO110" s="11"/>
      <c r="BP110" s="11"/>
      <c r="BQ110" s="11"/>
      <c r="BR110" s="127"/>
      <c r="BS110" s="19"/>
      <c r="BT110" s="19"/>
      <c r="BU110" s="19"/>
      <c r="BV110" s="19"/>
      <c r="BW110" s="19"/>
      <c r="BX110" s="19"/>
      <c r="BY110" s="19"/>
      <c r="BZ110" s="19"/>
      <c r="CA110" s="19"/>
      <c r="CB110" s="19"/>
      <c r="CC110" s="19"/>
      <c r="CD110" s="19"/>
      <c r="CE110" s="19"/>
      <c r="CF110" s="19"/>
      <c r="CG110" s="19"/>
      <c r="CH110" s="19"/>
      <c r="CI110" s="19"/>
      <c r="CJ110" s="19"/>
      <c r="CK110" s="19"/>
      <c r="CL110" s="19"/>
      <c r="CM110" s="19"/>
      <c r="CN110" s="19"/>
      <c r="CO110" s="19"/>
      <c r="CP110" s="19"/>
      <c r="CQ110" s="19"/>
      <c r="CR110" s="19"/>
      <c r="CS110" s="19"/>
      <c r="CT110" s="19"/>
      <c r="CU110" s="19"/>
      <c r="CV110" s="19"/>
      <c r="CW110" s="19"/>
      <c r="CX110" s="19"/>
      <c r="CY110" s="19"/>
      <c r="CZ110" s="19"/>
      <c r="DA110" s="19"/>
      <c r="DB110" s="19"/>
      <c r="DO110" s="1">
        <f t="shared" si="7"/>
        <v>0</v>
      </c>
      <c r="DP110" s="526"/>
    </row>
    <row r="111" spans="1:120" s="1" customFormat="1" ht="25.9" customHeight="1" x14ac:dyDescent="0.2">
      <c r="A111" s="6" t="s">
        <v>991</v>
      </c>
      <c r="B111" s="33" t="s">
        <v>57</v>
      </c>
      <c r="C111" s="1" t="s">
        <v>992</v>
      </c>
      <c r="D111" s="1" t="s">
        <v>756</v>
      </c>
      <c r="E111" s="1" t="s">
        <v>757</v>
      </c>
      <c r="F111" s="33" t="s">
        <v>49</v>
      </c>
      <c r="G111" s="33" t="s">
        <v>315</v>
      </c>
      <c r="H111" s="1" t="s">
        <v>61</v>
      </c>
      <c r="I111" s="115">
        <v>42073</v>
      </c>
      <c r="J111" s="115">
        <v>42257</v>
      </c>
      <c r="K111" s="1">
        <v>2260504.29</v>
      </c>
      <c r="L111" s="1">
        <v>2157754.1</v>
      </c>
      <c r="M111" s="1">
        <f t="shared" si="11"/>
        <v>0</v>
      </c>
      <c r="P111" s="1">
        <f t="shared" si="12"/>
        <v>0</v>
      </c>
      <c r="S111" s="1">
        <f t="shared" si="13"/>
        <v>0</v>
      </c>
      <c r="U111" s="1">
        <v>102750.18999999994</v>
      </c>
      <c r="X111" s="1" t="s">
        <v>517</v>
      </c>
      <c r="Y111" s="1">
        <v>0</v>
      </c>
      <c r="Z111" s="1">
        <v>0</v>
      </c>
      <c r="AA111" s="1" t="s">
        <v>53</v>
      </c>
      <c r="AB111" s="1" t="s">
        <v>53</v>
      </c>
      <c r="AC111" s="1" t="s">
        <v>53</v>
      </c>
      <c r="AD111" s="1" t="s">
        <v>962</v>
      </c>
      <c r="AE111" s="1" t="s">
        <v>993</v>
      </c>
      <c r="AF111" s="11"/>
      <c r="AG111" s="11"/>
      <c r="AH111" s="11"/>
      <c r="AI111" s="11"/>
      <c r="AJ111" s="11"/>
      <c r="AK111" s="11"/>
      <c r="AL111" s="11"/>
      <c r="AM111" s="11"/>
      <c r="AN111" s="11"/>
      <c r="AO111" s="11"/>
      <c r="AP111" s="11"/>
      <c r="AQ111" s="11"/>
      <c r="AR111" s="130"/>
      <c r="AS111" s="11"/>
      <c r="AT111" s="11"/>
      <c r="AU111" s="11"/>
      <c r="AV111" s="11"/>
      <c r="AW111" s="11"/>
      <c r="AX111" s="11"/>
      <c r="AY111" s="11"/>
      <c r="AZ111" s="11"/>
      <c r="BA111" s="11"/>
      <c r="BB111" s="11"/>
      <c r="BC111" s="11"/>
      <c r="BD111" s="11"/>
      <c r="BE111" s="130"/>
      <c r="BF111" s="11"/>
      <c r="BG111" s="11"/>
      <c r="BH111" s="11"/>
      <c r="BI111" s="11"/>
      <c r="BJ111" s="11"/>
      <c r="BK111" s="11"/>
      <c r="BL111" s="11"/>
      <c r="BM111" s="11"/>
      <c r="BN111" s="11"/>
      <c r="BO111" s="11"/>
      <c r="BP111" s="11"/>
      <c r="BQ111" s="11"/>
      <c r="BR111" s="127"/>
      <c r="BS111" s="19"/>
      <c r="BT111" s="19"/>
      <c r="BU111" s="19"/>
      <c r="BV111" s="19"/>
      <c r="BW111" s="19"/>
      <c r="BX111" s="19"/>
      <c r="BY111" s="19"/>
      <c r="BZ111" s="19"/>
      <c r="CA111" s="19"/>
      <c r="CB111" s="19"/>
      <c r="CC111" s="19"/>
      <c r="CD111" s="19"/>
      <c r="CE111" s="19"/>
      <c r="CF111" s="19"/>
      <c r="CG111" s="19"/>
      <c r="CH111" s="19"/>
      <c r="CI111" s="19"/>
      <c r="CJ111" s="19"/>
      <c r="CK111" s="19"/>
      <c r="CL111" s="19"/>
      <c r="CM111" s="19"/>
      <c r="CN111" s="19"/>
      <c r="CO111" s="19"/>
      <c r="CP111" s="19"/>
      <c r="CQ111" s="19"/>
      <c r="CR111" s="19"/>
      <c r="CS111" s="19"/>
      <c r="CT111" s="19"/>
      <c r="CU111" s="19"/>
      <c r="CV111" s="19"/>
      <c r="CW111" s="19"/>
      <c r="CX111" s="19"/>
      <c r="CY111" s="19"/>
      <c r="CZ111" s="19"/>
      <c r="DA111" s="19"/>
      <c r="DB111" s="19"/>
      <c r="DO111" s="1">
        <f t="shared" si="7"/>
        <v>0</v>
      </c>
      <c r="DP111" s="526"/>
    </row>
    <row r="112" spans="1:120" s="1" customFormat="1" ht="25.9" customHeight="1" x14ac:dyDescent="0.2">
      <c r="A112" s="6" t="s">
        <v>994</v>
      </c>
      <c r="B112" s="33" t="s">
        <v>57</v>
      </c>
      <c r="C112" s="1" t="s">
        <v>995</v>
      </c>
      <c r="D112" s="1" t="s">
        <v>756</v>
      </c>
      <c r="E112" s="1" t="s">
        <v>757</v>
      </c>
      <c r="F112" s="33" t="s">
        <v>49</v>
      </c>
      <c r="G112" s="33" t="s">
        <v>315</v>
      </c>
      <c r="H112" s="1" t="s">
        <v>61</v>
      </c>
      <c r="I112" s="115">
        <v>41978</v>
      </c>
      <c r="J112" s="115">
        <v>42160</v>
      </c>
      <c r="K112" s="1">
        <v>1952839.16</v>
      </c>
      <c r="L112" s="1">
        <v>920691.74</v>
      </c>
      <c r="M112" s="1">
        <f t="shared" si="11"/>
        <v>0</v>
      </c>
      <c r="P112" s="1">
        <f t="shared" si="12"/>
        <v>0</v>
      </c>
      <c r="S112" s="1">
        <f t="shared" si="13"/>
        <v>0</v>
      </c>
      <c r="U112" s="1">
        <v>1032147.4199999999</v>
      </c>
      <c r="X112" s="1" t="s">
        <v>517</v>
      </c>
      <c r="Y112" s="1">
        <v>0</v>
      </c>
      <c r="Z112" s="1">
        <v>0</v>
      </c>
      <c r="AA112" s="1" t="s">
        <v>53</v>
      </c>
      <c r="AB112" s="1" t="s">
        <v>53</v>
      </c>
      <c r="AC112" s="1" t="s">
        <v>53</v>
      </c>
      <c r="AD112" s="1" t="s">
        <v>962</v>
      </c>
      <c r="AE112" s="1" t="s">
        <v>993</v>
      </c>
      <c r="AF112" s="11"/>
      <c r="AG112" s="11"/>
      <c r="AH112" s="11"/>
      <c r="AI112" s="11"/>
      <c r="AJ112" s="11"/>
      <c r="AK112" s="11"/>
      <c r="AL112" s="11"/>
      <c r="AM112" s="11"/>
      <c r="AN112" s="11"/>
      <c r="AO112" s="11"/>
      <c r="AP112" s="11"/>
      <c r="AQ112" s="11"/>
      <c r="AR112" s="130"/>
      <c r="AS112" s="11"/>
      <c r="AT112" s="11"/>
      <c r="AU112" s="11"/>
      <c r="AV112" s="11"/>
      <c r="AW112" s="11"/>
      <c r="AX112" s="11"/>
      <c r="AY112" s="11"/>
      <c r="AZ112" s="11"/>
      <c r="BA112" s="11"/>
      <c r="BB112" s="11"/>
      <c r="BC112" s="11"/>
      <c r="BD112" s="11"/>
      <c r="BE112" s="130"/>
      <c r="BF112" s="11"/>
      <c r="BG112" s="11"/>
      <c r="BH112" s="11"/>
      <c r="BI112" s="11"/>
      <c r="BJ112" s="11"/>
      <c r="BK112" s="11"/>
      <c r="BL112" s="11"/>
      <c r="BM112" s="11"/>
      <c r="BN112" s="11"/>
      <c r="BO112" s="11"/>
      <c r="BP112" s="11"/>
      <c r="BQ112" s="11"/>
      <c r="BR112" s="127"/>
      <c r="BS112" s="19"/>
      <c r="BT112" s="19"/>
      <c r="BU112" s="19"/>
      <c r="BV112" s="19"/>
      <c r="BW112" s="19"/>
      <c r="BX112" s="19"/>
      <c r="BY112" s="19"/>
      <c r="BZ112" s="19"/>
      <c r="CA112" s="19"/>
      <c r="CB112" s="19"/>
      <c r="CC112" s="19"/>
      <c r="CD112" s="19"/>
      <c r="CE112" s="19"/>
      <c r="CF112" s="19"/>
      <c r="CG112" s="19"/>
      <c r="CH112" s="19"/>
      <c r="CI112" s="19"/>
      <c r="CJ112" s="19"/>
      <c r="CK112" s="19"/>
      <c r="CL112" s="19"/>
      <c r="CM112" s="19"/>
      <c r="CN112" s="19"/>
      <c r="CO112" s="19"/>
      <c r="CP112" s="19"/>
      <c r="CQ112" s="19"/>
      <c r="CR112" s="19"/>
      <c r="CS112" s="19"/>
      <c r="CT112" s="19"/>
      <c r="CU112" s="19"/>
      <c r="CV112" s="19"/>
      <c r="CW112" s="19"/>
      <c r="CX112" s="19"/>
      <c r="CY112" s="19"/>
      <c r="CZ112" s="19"/>
      <c r="DA112" s="19"/>
      <c r="DB112" s="19"/>
      <c r="DO112" s="1">
        <f t="shared" si="7"/>
        <v>0</v>
      </c>
      <c r="DP112" s="526"/>
    </row>
    <row r="113" spans="1:120" s="1" customFormat="1" ht="25.9" customHeight="1" x14ac:dyDescent="0.2">
      <c r="A113" s="6" t="s">
        <v>996</v>
      </c>
      <c r="B113" s="33" t="s">
        <v>57</v>
      </c>
      <c r="C113" s="1" t="s">
        <v>997</v>
      </c>
      <c r="D113" s="1" t="s">
        <v>722</v>
      </c>
      <c r="E113" s="1" t="s">
        <v>723</v>
      </c>
      <c r="F113" s="33" t="s">
        <v>49</v>
      </c>
      <c r="G113" s="33" t="s">
        <v>522</v>
      </c>
      <c r="H113" s="1" t="s">
        <v>389</v>
      </c>
      <c r="I113" s="115">
        <v>42262</v>
      </c>
      <c r="J113" s="115">
        <v>42353</v>
      </c>
      <c r="K113" s="1">
        <v>689241.92</v>
      </c>
      <c r="L113" s="1">
        <v>689241.92</v>
      </c>
      <c r="M113" s="1">
        <f t="shared" si="11"/>
        <v>0</v>
      </c>
      <c r="P113" s="1">
        <f t="shared" si="12"/>
        <v>0</v>
      </c>
      <c r="S113" s="1">
        <f t="shared" si="13"/>
        <v>0</v>
      </c>
      <c r="U113" s="1">
        <v>0</v>
      </c>
      <c r="X113" s="1" t="s">
        <v>517</v>
      </c>
      <c r="Z113" s="1">
        <v>0</v>
      </c>
      <c r="AA113" s="1" t="s">
        <v>53</v>
      </c>
      <c r="AB113" s="1" t="s">
        <v>53</v>
      </c>
      <c r="AC113" s="1" t="s">
        <v>53</v>
      </c>
      <c r="AD113" s="1" t="s">
        <v>962</v>
      </c>
      <c r="AE113" s="1" t="s">
        <v>998</v>
      </c>
      <c r="AF113" s="11"/>
      <c r="AG113" s="11"/>
      <c r="AH113" s="11"/>
      <c r="AI113" s="11"/>
      <c r="AJ113" s="11"/>
      <c r="AK113" s="11"/>
      <c r="AL113" s="11"/>
      <c r="AM113" s="11"/>
      <c r="AN113" s="11"/>
      <c r="AO113" s="11"/>
      <c r="AP113" s="11"/>
      <c r="AQ113" s="11"/>
      <c r="AR113" s="130"/>
      <c r="AS113" s="11"/>
      <c r="AT113" s="11"/>
      <c r="AU113" s="11"/>
      <c r="AV113" s="11"/>
      <c r="AW113" s="11"/>
      <c r="AX113" s="11"/>
      <c r="AY113" s="11"/>
      <c r="AZ113" s="11"/>
      <c r="BA113" s="11"/>
      <c r="BB113" s="11"/>
      <c r="BC113" s="11"/>
      <c r="BD113" s="11"/>
      <c r="BE113" s="130"/>
      <c r="BF113" s="11"/>
      <c r="BG113" s="11"/>
      <c r="BH113" s="11"/>
      <c r="BI113" s="11"/>
      <c r="BJ113" s="11"/>
      <c r="BK113" s="11"/>
      <c r="BL113" s="11"/>
      <c r="BM113" s="11"/>
      <c r="BN113" s="11"/>
      <c r="BO113" s="11"/>
      <c r="BP113" s="11"/>
      <c r="BQ113" s="11"/>
      <c r="BR113" s="127"/>
      <c r="BS113" s="19"/>
      <c r="BT113" s="19"/>
      <c r="BU113" s="19"/>
      <c r="BV113" s="19"/>
      <c r="BW113" s="19"/>
      <c r="BX113" s="19"/>
      <c r="BY113" s="19"/>
      <c r="BZ113" s="19"/>
      <c r="CA113" s="19"/>
      <c r="CB113" s="19"/>
      <c r="CC113" s="19"/>
      <c r="CD113" s="19"/>
      <c r="CE113" s="19"/>
      <c r="CF113" s="19"/>
      <c r="CG113" s="19"/>
      <c r="CH113" s="19"/>
      <c r="CI113" s="19"/>
      <c r="CJ113" s="19"/>
      <c r="CK113" s="19"/>
      <c r="CL113" s="19"/>
      <c r="CM113" s="19"/>
      <c r="CN113" s="19"/>
      <c r="CO113" s="19"/>
      <c r="CP113" s="19"/>
      <c r="CQ113" s="19"/>
      <c r="CR113" s="19"/>
      <c r="CS113" s="19"/>
      <c r="CT113" s="19"/>
      <c r="CU113" s="19"/>
      <c r="CV113" s="19"/>
      <c r="CW113" s="19"/>
      <c r="CX113" s="19"/>
      <c r="CY113" s="19"/>
      <c r="CZ113" s="19"/>
      <c r="DA113" s="19"/>
      <c r="DB113" s="19"/>
      <c r="DO113" s="1">
        <f t="shared" si="7"/>
        <v>0</v>
      </c>
      <c r="DP113" s="526"/>
    </row>
    <row r="114" spans="1:120" s="1" customFormat="1" ht="25.9" customHeight="1" x14ac:dyDescent="0.2">
      <c r="A114" s="6" t="s">
        <v>999</v>
      </c>
      <c r="B114" s="33" t="s">
        <v>57</v>
      </c>
      <c r="C114" s="1" t="s">
        <v>1000</v>
      </c>
      <c r="D114" s="1" t="s">
        <v>1001</v>
      </c>
      <c r="E114" s="1" t="s">
        <v>1002</v>
      </c>
      <c r="F114" s="33" t="s">
        <v>49</v>
      </c>
      <c r="G114" s="33" t="s">
        <v>522</v>
      </c>
      <c r="H114" s="1" t="s">
        <v>389</v>
      </c>
      <c r="I114" s="115">
        <v>42334</v>
      </c>
      <c r="J114" s="115">
        <v>42334</v>
      </c>
      <c r="K114" s="1">
        <v>2189000</v>
      </c>
      <c r="L114" s="1">
        <v>2189000</v>
      </c>
      <c r="M114" s="1">
        <f t="shared" si="11"/>
        <v>0</v>
      </c>
      <c r="P114" s="1">
        <f t="shared" si="12"/>
        <v>0</v>
      </c>
      <c r="S114" s="1">
        <f t="shared" si="13"/>
        <v>0</v>
      </c>
      <c r="U114" s="1">
        <v>0</v>
      </c>
      <c r="X114" s="1" t="s">
        <v>517</v>
      </c>
      <c r="Y114" s="1">
        <v>0</v>
      </c>
      <c r="Z114" s="1">
        <v>0</v>
      </c>
      <c r="AA114" s="1" t="s">
        <v>53</v>
      </c>
      <c r="AB114" s="1" t="s">
        <v>53</v>
      </c>
      <c r="AC114" s="1" t="s">
        <v>53</v>
      </c>
      <c r="AD114" s="1" t="s">
        <v>962</v>
      </c>
      <c r="AE114" s="1" t="s">
        <v>1003</v>
      </c>
      <c r="AF114" s="11"/>
      <c r="AG114" s="11"/>
      <c r="AH114" s="11"/>
      <c r="AI114" s="11"/>
      <c r="AJ114" s="11"/>
      <c r="AK114" s="11"/>
      <c r="AL114" s="11"/>
      <c r="AM114" s="11"/>
      <c r="AN114" s="11"/>
      <c r="AO114" s="11"/>
      <c r="AP114" s="11"/>
      <c r="AQ114" s="11"/>
      <c r="AR114" s="130"/>
      <c r="AS114" s="11"/>
      <c r="AT114" s="11"/>
      <c r="AU114" s="11"/>
      <c r="AV114" s="11"/>
      <c r="AW114" s="11"/>
      <c r="AX114" s="11"/>
      <c r="AY114" s="11"/>
      <c r="AZ114" s="11"/>
      <c r="BA114" s="11"/>
      <c r="BB114" s="11"/>
      <c r="BC114" s="11"/>
      <c r="BD114" s="11"/>
      <c r="BE114" s="130"/>
      <c r="BF114" s="11"/>
      <c r="BG114" s="11"/>
      <c r="BH114" s="11"/>
      <c r="BI114" s="11"/>
      <c r="BJ114" s="11"/>
      <c r="BK114" s="11"/>
      <c r="BL114" s="11"/>
      <c r="BM114" s="11"/>
      <c r="BN114" s="11"/>
      <c r="BO114" s="11"/>
      <c r="BP114" s="11"/>
      <c r="BQ114" s="11"/>
      <c r="BR114" s="127"/>
      <c r="BS114" s="19"/>
      <c r="BT114" s="19"/>
      <c r="BU114" s="19"/>
      <c r="BV114" s="19"/>
      <c r="BW114" s="19"/>
      <c r="BX114" s="19"/>
      <c r="BY114" s="19"/>
      <c r="BZ114" s="19"/>
      <c r="CA114" s="19"/>
      <c r="CB114" s="19"/>
      <c r="CC114" s="19"/>
      <c r="CD114" s="19"/>
      <c r="CE114" s="19"/>
      <c r="CF114" s="19"/>
      <c r="CG114" s="19"/>
      <c r="CH114" s="19"/>
      <c r="CI114" s="19"/>
      <c r="CJ114" s="19"/>
      <c r="CK114" s="19"/>
      <c r="CL114" s="19"/>
      <c r="CM114" s="19"/>
      <c r="CN114" s="19"/>
      <c r="CO114" s="19"/>
      <c r="CP114" s="19"/>
      <c r="CQ114" s="19"/>
      <c r="CR114" s="19"/>
      <c r="CS114" s="19"/>
      <c r="CT114" s="19"/>
      <c r="CU114" s="19"/>
      <c r="CV114" s="19"/>
      <c r="CW114" s="19"/>
      <c r="CX114" s="19"/>
      <c r="CY114" s="19"/>
      <c r="CZ114" s="19"/>
      <c r="DA114" s="19"/>
      <c r="DB114" s="19"/>
      <c r="DO114" s="1">
        <f t="shared" si="7"/>
        <v>0</v>
      </c>
      <c r="DP114" s="526"/>
    </row>
    <row r="115" spans="1:120" s="1" customFormat="1" ht="25.9" customHeight="1" x14ac:dyDescent="0.2">
      <c r="A115" s="6" t="s">
        <v>1004</v>
      </c>
      <c r="B115" s="33" t="s">
        <v>57</v>
      </c>
      <c r="C115" s="1" t="s">
        <v>1005</v>
      </c>
      <c r="D115" s="1" t="s">
        <v>657</v>
      </c>
      <c r="E115" s="1" t="s">
        <v>1006</v>
      </c>
      <c r="F115" s="33" t="s">
        <v>49</v>
      </c>
      <c r="G115" s="33" t="s">
        <v>315</v>
      </c>
      <c r="H115" s="1" t="s">
        <v>563</v>
      </c>
      <c r="I115" s="115">
        <v>42257</v>
      </c>
      <c r="J115" s="115">
        <v>42419</v>
      </c>
      <c r="K115" s="1">
        <v>359100</v>
      </c>
      <c r="L115" s="1">
        <v>44179.37</v>
      </c>
      <c r="M115" s="1">
        <f t="shared" si="11"/>
        <v>0</v>
      </c>
      <c r="P115" s="1">
        <f t="shared" si="12"/>
        <v>0</v>
      </c>
      <c r="S115" s="1">
        <f t="shared" si="13"/>
        <v>0</v>
      </c>
      <c r="U115" s="1">
        <v>314920.63</v>
      </c>
      <c r="X115" s="1" t="s">
        <v>517</v>
      </c>
      <c r="Y115" s="1">
        <v>0</v>
      </c>
      <c r="Z115" s="1">
        <v>0</v>
      </c>
      <c r="AA115" s="1" t="s">
        <v>53</v>
      </c>
      <c r="AB115" s="1" t="s">
        <v>53</v>
      </c>
      <c r="AC115" s="1" t="s">
        <v>53</v>
      </c>
      <c r="AD115" s="1" t="s">
        <v>962</v>
      </c>
      <c r="AE115" s="1" t="s">
        <v>1007</v>
      </c>
      <c r="AF115" s="11"/>
      <c r="AG115" s="11"/>
      <c r="AH115" s="11"/>
      <c r="AI115" s="11"/>
      <c r="AJ115" s="11"/>
      <c r="AK115" s="11"/>
      <c r="AL115" s="11"/>
      <c r="AM115" s="11"/>
      <c r="AN115" s="11"/>
      <c r="AO115" s="11"/>
      <c r="AP115" s="11"/>
      <c r="AQ115" s="11"/>
      <c r="AR115" s="130"/>
      <c r="AS115" s="11"/>
      <c r="AT115" s="11"/>
      <c r="AU115" s="11"/>
      <c r="AV115" s="11"/>
      <c r="AW115" s="11"/>
      <c r="AX115" s="11"/>
      <c r="AY115" s="11"/>
      <c r="AZ115" s="11"/>
      <c r="BA115" s="11"/>
      <c r="BB115" s="11"/>
      <c r="BC115" s="11"/>
      <c r="BD115" s="11"/>
      <c r="BE115" s="130"/>
      <c r="BF115" s="11"/>
      <c r="BG115" s="11"/>
      <c r="BH115" s="11"/>
      <c r="BI115" s="11"/>
      <c r="BJ115" s="11"/>
      <c r="BK115" s="11"/>
      <c r="BL115" s="11"/>
      <c r="BM115" s="11"/>
      <c r="BN115" s="11"/>
      <c r="BO115" s="11"/>
      <c r="BP115" s="11"/>
      <c r="BQ115" s="11"/>
      <c r="BR115" s="127"/>
      <c r="BS115" s="19"/>
      <c r="BT115" s="19"/>
      <c r="BU115" s="19"/>
      <c r="BV115" s="19"/>
      <c r="BW115" s="19"/>
      <c r="BX115" s="19"/>
      <c r="BY115" s="19"/>
      <c r="BZ115" s="19"/>
      <c r="CA115" s="19"/>
      <c r="CB115" s="19"/>
      <c r="CC115" s="19"/>
      <c r="CD115" s="19"/>
      <c r="CE115" s="19"/>
      <c r="CF115" s="19"/>
      <c r="CG115" s="19"/>
      <c r="CH115" s="19"/>
      <c r="CI115" s="19"/>
      <c r="CJ115" s="19"/>
      <c r="CK115" s="19"/>
      <c r="CL115" s="19"/>
      <c r="CM115" s="19"/>
      <c r="CN115" s="19"/>
      <c r="CO115" s="19"/>
      <c r="CP115" s="19"/>
      <c r="CQ115" s="19"/>
      <c r="CR115" s="19"/>
      <c r="CS115" s="19"/>
      <c r="CT115" s="19"/>
      <c r="CU115" s="19"/>
      <c r="CV115" s="19"/>
      <c r="CW115" s="19"/>
      <c r="CX115" s="19"/>
      <c r="CY115" s="19"/>
      <c r="CZ115" s="19"/>
      <c r="DA115" s="19"/>
      <c r="DB115" s="19"/>
      <c r="DO115" s="1">
        <f t="shared" si="7"/>
        <v>0</v>
      </c>
      <c r="DP115" s="526"/>
    </row>
    <row r="116" spans="1:120" s="1" customFormat="1" ht="25.9" customHeight="1" x14ac:dyDescent="0.2">
      <c r="A116" s="6" t="s">
        <v>1008</v>
      </c>
      <c r="B116" s="33" t="s">
        <v>57</v>
      </c>
      <c r="C116" s="854" t="s">
        <v>1009</v>
      </c>
      <c r="D116" s="17" t="s">
        <v>1010</v>
      </c>
      <c r="E116" s="1" t="s">
        <v>216</v>
      </c>
      <c r="F116" s="33" t="s">
        <v>49</v>
      </c>
      <c r="G116" s="33" t="s">
        <v>315</v>
      </c>
      <c r="H116" s="1" t="s">
        <v>563</v>
      </c>
      <c r="I116" s="115">
        <v>42338</v>
      </c>
      <c r="J116" s="115">
        <v>42432</v>
      </c>
      <c r="K116" s="1" t="s">
        <v>583</v>
      </c>
      <c r="L116" s="1">
        <v>143785.71</v>
      </c>
      <c r="M116" s="1">
        <f t="shared" si="11"/>
        <v>0</v>
      </c>
      <c r="P116" s="1">
        <f>BE118</f>
        <v>0</v>
      </c>
      <c r="S116" s="1">
        <f t="shared" si="13"/>
        <v>0</v>
      </c>
      <c r="X116" s="1" t="s">
        <v>517</v>
      </c>
      <c r="Y116" s="1">
        <v>0</v>
      </c>
      <c r="Z116" s="1">
        <v>0</v>
      </c>
      <c r="AA116" s="1" t="s">
        <v>53</v>
      </c>
      <c r="AB116" s="1" t="s">
        <v>53</v>
      </c>
      <c r="AC116" s="1" t="s">
        <v>53</v>
      </c>
      <c r="AD116" s="1" t="s">
        <v>962</v>
      </c>
      <c r="AE116" s="1" t="s">
        <v>1011</v>
      </c>
      <c r="AF116" s="11"/>
      <c r="AG116" s="11"/>
      <c r="AH116" s="23">
        <v>7120.31</v>
      </c>
      <c r="AI116" s="11"/>
      <c r="AJ116" s="11"/>
      <c r="AK116" s="11"/>
      <c r="AL116" s="11"/>
      <c r="AM116" s="11"/>
      <c r="AN116" s="11"/>
      <c r="AO116" s="11"/>
      <c r="AP116" s="11"/>
      <c r="AQ116" s="11"/>
      <c r="AR116" s="130"/>
      <c r="AS116" s="11"/>
      <c r="AT116" s="11"/>
      <c r="AU116" s="11"/>
      <c r="AV116" s="11"/>
      <c r="AW116" s="11"/>
      <c r="AX116" s="11"/>
      <c r="AY116" s="11"/>
      <c r="AZ116" s="11"/>
      <c r="BA116" s="11"/>
      <c r="BB116" s="11"/>
      <c r="BC116" s="11"/>
      <c r="BD116" s="11"/>
      <c r="BE116" s="130"/>
      <c r="BF116" s="11"/>
      <c r="BG116" s="11"/>
      <c r="BH116" s="11"/>
      <c r="BI116" s="11"/>
      <c r="BJ116" s="11"/>
      <c r="BK116" s="11"/>
      <c r="BL116" s="11"/>
      <c r="BM116" s="11"/>
      <c r="BN116" s="11"/>
      <c r="BO116" s="11"/>
      <c r="BP116" s="11"/>
      <c r="BQ116" s="11"/>
      <c r="BR116" s="127"/>
      <c r="BS116" s="19"/>
      <c r="BT116" s="19"/>
      <c r="BU116" s="19"/>
      <c r="BV116" s="19"/>
      <c r="BW116" s="19"/>
      <c r="BX116" s="19"/>
      <c r="BY116" s="19"/>
      <c r="BZ116" s="19"/>
      <c r="CA116" s="19"/>
      <c r="CB116" s="19"/>
      <c r="CC116" s="19"/>
      <c r="CD116" s="19"/>
      <c r="CE116" s="19"/>
      <c r="CF116" s="19"/>
      <c r="CG116" s="19"/>
      <c r="CH116" s="19"/>
      <c r="CI116" s="19"/>
      <c r="CJ116" s="19"/>
      <c r="CK116" s="19"/>
      <c r="CL116" s="19"/>
      <c r="CM116" s="19"/>
      <c r="CN116" s="19"/>
      <c r="CO116" s="19"/>
      <c r="CP116" s="19"/>
      <c r="CQ116" s="19"/>
      <c r="CR116" s="19"/>
      <c r="CS116" s="19"/>
      <c r="CT116" s="19"/>
      <c r="CU116" s="19"/>
      <c r="CV116" s="19"/>
      <c r="CW116" s="19"/>
      <c r="CX116" s="19"/>
      <c r="CY116" s="19"/>
      <c r="CZ116" s="19"/>
      <c r="DA116" s="19"/>
      <c r="DB116" s="19"/>
      <c r="DO116" s="1">
        <f t="shared" si="7"/>
        <v>0</v>
      </c>
      <c r="DP116" s="526"/>
    </row>
    <row r="117" spans="1:120" s="1" customFormat="1" ht="25.9" customHeight="1" x14ac:dyDescent="0.2">
      <c r="A117" s="6"/>
      <c r="B117" s="33"/>
      <c r="C117" s="856"/>
      <c r="D117" s="17" t="s">
        <v>1012</v>
      </c>
      <c r="F117" s="33"/>
      <c r="G117" s="33"/>
      <c r="I117" s="115"/>
      <c r="J117" s="115"/>
      <c r="AF117" s="11"/>
      <c r="AG117" s="11"/>
      <c r="AH117" s="11"/>
      <c r="AI117" s="23">
        <v>21959.06</v>
      </c>
      <c r="AJ117" s="23">
        <v>25612.85</v>
      </c>
      <c r="AK117" s="23">
        <v>40396.910000000003</v>
      </c>
      <c r="AL117" s="23"/>
      <c r="AM117" s="23">
        <v>23775.72</v>
      </c>
      <c r="AN117" s="11"/>
      <c r="AO117" s="11"/>
      <c r="AP117" s="11"/>
      <c r="AQ117" s="11"/>
      <c r="AR117" s="130"/>
      <c r="AS117" s="11"/>
      <c r="AT117" s="11"/>
      <c r="AU117" s="11"/>
      <c r="AV117" s="11"/>
      <c r="AW117" s="11"/>
      <c r="AX117" s="11"/>
      <c r="AY117" s="11"/>
      <c r="AZ117" s="11"/>
      <c r="BA117" s="23">
        <v>20821.75</v>
      </c>
      <c r="BB117" s="11"/>
      <c r="BC117" s="11"/>
      <c r="BD117" s="11"/>
      <c r="BE117" s="130"/>
      <c r="BF117" s="11"/>
      <c r="BG117" s="11"/>
      <c r="BH117" s="11"/>
      <c r="BI117" s="11"/>
      <c r="BJ117" s="11"/>
      <c r="BK117" s="11"/>
      <c r="BL117" s="11"/>
      <c r="BM117" s="11"/>
      <c r="BN117" s="11"/>
      <c r="BO117" s="11"/>
      <c r="BP117" s="11"/>
      <c r="BQ117" s="11"/>
      <c r="BR117" s="127"/>
      <c r="BS117" s="19"/>
      <c r="BT117" s="19"/>
      <c r="BU117" s="19"/>
      <c r="BV117" s="19"/>
      <c r="BW117" s="19"/>
      <c r="BX117" s="19"/>
      <c r="BY117" s="19"/>
      <c r="BZ117" s="19"/>
      <c r="CA117" s="19"/>
      <c r="CB117" s="19"/>
      <c r="CC117" s="19"/>
      <c r="CD117" s="19"/>
      <c r="CE117" s="19"/>
      <c r="CF117" s="19"/>
      <c r="CG117" s="19"/>
      <c r="CH117" s="19"/>
      <c r="CI117" s="19"/>
      <c r="CJ117" s="19"/>
      <c r="CK117" s="19"/>
      <c r="CL117" s="19"/>
      <c r="CM117" s="19"/>
      <c r="CN117" s="19"/>
      <c r="CO117" s="19"/>
      <c r="CP117" s="19"/>
      <c r="CQ117" s="19"/>
      <c r="CR117" s="19"/>
      <c r="CS117" s="19"/>
      <c r="CT117" s="19"/>
      <c r="CU117" s="19"/>
      <c r="CV117" s="19"/>
      <c r="CW117" s="19"/>
      <c r="CX117" s="19"/>
      <c r="CY117" s="19"/>
      <c r="CZ117" s="19"/>
      <c r="DA117" s="19"/>
      <c r="DB117" s="19"/>
      <c r="DO117" s="1">
        <f t="shared" si="7"/>
        <v>0</v>
      </c>
      <c r="DP117" s="526"/>
    </row>
    <row r="118" spans="1:120" s="1" customFormat="1" ht="25.9" customHeight="1" x14ac:dyDescent="0.2">
      <c r="A118" s="6" t="s">
        <v>1013</v>
      </c>
      <c r="B118" s="33" t="s">
        <v>57</v>
      </c>
      <c r="C118" s="1" t="s">
        <v>1014</v>
      </c>
      <c r="D118" s="1" t="s">
        <v>1015</v>
      </c>
      <c r="E118" s="1" t="s">
        <v>1016</v>
      </c>
      <c r="F118" s="33" t="s">
        <v>49</v>
      </c>
      <c r="G118" s="33" t="s">
        <v>315</v>
      </c>
      <c r="H118" s="1" t="s">
        <v>61</v>
      </c>
      <c r="I118" s="115">
        <v>41739</v>
      </c>
      <c r="J118" s="115">
        <v>41922</v>
      </c>
      <c r="K118" s="1">
        <v>1832276.33</v>
      </c>
      <c r="L118" s="1">
        <v>1832276.33</v>
      </c>
      <c r="M118" s="1">
        <f t="shared" ref="M118:M149" si="14">AR118</f>
        <v>0</v>
      </c>
      <c r="P118" s="1">
        <f t="shared" ref="P118:P135" si="15">BE119</f>
        <v>0</v>
      </c>
      <c r="S118" s="1">
        <f t="shared" ref="S118:S149" si="16">BR118</f>
        <v>0</v>
      </c>
      <c r="U118" s="1">
        <v>0</v>
      </c>
      <c r="X118" s="1" t="s">
        <v>517</v>
      </c>
      <c r="Y118" s="1">
        <v>0</v>
      </c>
      <c r="Z118" s="1">
        <v>0</v>
      </c>
      <c r="AA118" s="1" t="s">
        <v>53</v>
      </c>
      <c r="AB118" s="1" t="s">
        <v>53</v>
      </c>
      <c r="AC118" s="1" t="s">
        <v>53</v>
      </c>
      <c r="AD118" s="1" t="s">
        <v>962</v>
      </c>
      <c r="AE118" s="1" t="s">
        <v>993</v>
      </c>
      <c r="AR118" s="130"/>
      <c r="BE118" s="130"/>
      <c r="BR118" s="129"/>
      <c r="BS118" s="19"/>
      <c r="BT118" s="19"/>
      <c r="BU118" s="19"/>
      <c r="BV118" s="19"/>
      <c r="BW118" s="19"/>
      <c r="BX118" s="19"/>
      <c r="BY118" s="19"/>
      <c r="BZ118" s="19"/>
      <c r="CA118" s="19"/>
      <c r="CB118" s="19"/>
      <c r="CC118" s="19"/>
      <c r="CD118" s="19"/>
      <c r="CE118" s="19"/>
      <c r="CF118" s="19"/>
      <c r="CG118" s="19"/>
      <c r="CH118" s="19"/>
      <c r="CI118" s="19"/>
      <c r="CJ118" s="19"/>
      <c r="CK118" s="19"/>
      <c r="CL118" s="19"/>
      <c r="CM118" s="19"/>
      <c r="CN118" s="19"/>
      <c r="CO118" s="19"/>
      <c r="CP118" s="19"/>
      <c r="CQ118" s="19"/>
      <c r="CR118" s="19"/>
      <c r="CS118" s="19"/>
      <c r="CT118" s="19"/>
      <c r="CU118" s="19"/>
      <c r="CV118" s="19"/>
      <c r="CW118" s="19"/>
      <c r="CX118" s="19"/>
      <c r="CY118" s="19"/>
      <c r="CZ118" s="19"/>
      <c r="DA118" s="19"/>
      <c r="DB118" s="19"/>
      <c r="DO118" s="1">
        <f t="shared" si="7"/>
        <v>0</v>
      </c>
      <c r="DP118" s="526"/>
    </row>
    <row r="119" spans="1:120" s="1" customFormat="1" ht="25.9" customHeight="1" x14ac:dyDescent="0.2">
      <c r="A119" s="6" t="s">
        <v>1017</v>
      </c>
      <c r="B119" s="33" t="s">
        <v>57</v>
      </c>
      <c r="C119" s="1" t="s">
        <v>1018</v>
      </c>
      <c r="D119" s="1" t="s">
        <v>1019</v>
      </c>
      <c r="E119" s="1" t="s">
        <v>1020</v>
      </c>
      <c r="F119" s="33" t="s">
        <v>49</v>
      </c>
      <c r="G119" s="33" t="s">
        <v>315</v>
      </c>
      <c r="H119" s="1" t="s">
        <v>61</v>
      </c>
      <c r="I119" s="115">
        <v>42046</v>
      </c>
      <c r="J119" s="115">
        <v>42227</v>
      </c>
      <c r="K119" s="1">
        <v>599980</v>
      </c>
      <c r="L119" s="1">
        <v>434791.72</v>
      </c>
      <c r="M119" s="1">
        <f t="shared" si="14"/>
        <v>0</v>
      </c>
      <c r="P119" s="1">
        <f t="shared" si="15"/>
        <v>0</v>
      </c>
      <c r="S119" s="1">
        <f t="shared" si="16"/>
        <v>0</v>
      </c>
      <c r="U119" s="1">
        <v>165188.28000000003</v>
      </c>
      <c r="X119" s="1" t="s">
        <v>517</v>
      </c>
      <c r="Y119" s="1">
        <v>0</v>
      </c>
      <c r="Z119" s="1">
        <v>0</v>
      </c>
      <c r="AA119" s="1" t="s">
        <v>53</v>
      </c>
      <c r="AB119" s="1" t="s">
        <v>530</v>
      </c>
      <c r="AC119" s="1" t="s">
        <v>53</v>
      </c>
      <c r="AD119" s="1" t="s">
        <v>962</v>
      </c>
      <c r="AE119" s="1" t="s">
        <v>1021</v>
      </c>
      <c r="AR119" s="130"/>
      <c r="BE119" s="130"/>
      <c r="BR119" s="129"/>
      <c r="BS119" s="19"/>
      <c r="BT119" s="19"/>
      <c r="BU119" s="19"/>
      <c r="BV119" s="19"/>
      <c r="BW119" s="19"/>
      <c r="BX119" s="19"/>
      <c r="BY119" s="19"/>
      <c r="BZ119" s="19"/>
      <c r="CA119" s="19"/>
      <c r="CB119" s="19"/>
      <c r="CC119" s="19"/>
      <c r="CD119" s="19"/>
      <c r="CE119" s="19"/>
      <c r="CF119" s="19"/>
      <c r="CG119" s="19"/>
      <c r="CH119" s="19"/>
      <c r="CI119" s="19"/>
      <c r="CJ119" s="19"/>
      <c r="CK119" s="19"/>
      <c r="CL119" s="19"/>
      <c r="CM119" s="19"/>
      <c r="CN119" s="19"/>
      <c r="CO119" s="19"/>
      <c r="CP119" s="19"/>
      <c r="CQ119" s="19"/>
      <c r="CR119" s="19"/>
      <c r="CS119" s="19"/>
      <c r="CT119" s="19"/>
      <c r="CU119" s="19"/>
      <c r="CV119" s="19"/>
      <c r="CW119" s="19"/>
      <c r="CX119" s="19"/>
      <c r="CY119" s="19"/>
      <c r="CZ119" s="19"/>
      <c r="DA119" s="19"/>
      <c r="DB119" s="19"/>
      <c r="DO119" s="1">
        <f t="shared" si="7"/>
        <v>0</v>
      </c>
      <c r="DP119" s="526"/>
    </row>
    <row r="120" spans="1:120" s="1" customFormat="1" ht="25.9" customHeight="1" x14ac:dyDescent="0.2">
      <c r="A120" s="6" t="s">
        <v>1022</v>
      </c>
      <c r="B120" s="33" t="s">
        <v>57</v>
      </c>
      <c r="C120" s="1" t="s">
        <v>1023</v>
      </c>
      <c r="D120" s="1" t="s">
        <v>520</v>
      </c>
      <c r="E120" s="1" t="s">
        <v>521</v>
      </c>
      <c r="F120" s="33" t="s">
        <v>49</v>
      </c>
      <c r="G120" s="33" t="s">
        <v>111</v>
      </c>
      <c r="H120" s="1" t="s">
        <v>523</v>
      </c>
      <c r="I120" s="115">
        <v>42306</v>
      </c>
      <c r="J120" s="115">
        <v>42306</v>
      </c>
      <c r="K120" s="1">
        <v>563901</v>
      </c>
      <c r="L120" s="1">
        <v>563901</v>
      </c>
      <c r="M120" s="1">
        <f t="shared" si="14"/>
        <v>0</v>
      </c>
      <c r="P120" s="1">
        <f t="shared" si="15"/>
        <v>0</v>
      </c>
      <c r="S120" s="1">
        <f t="shared" si="16"/>
        <v>0</v>
      </c>
      <c r="U120" s="1">
        <v>0</v>
      </c>
      <c r="X120" s="1" t="s">
        <v>517</v>
      </c>
      <c r="Y120" s="1">
        <v>0</v>
      </c>
      <c r="Z120" s="1">
        <v>0</v>
      </c>
      <c r="AA120" s="1" t="s">
        <v>53</v>
      </c>
      <c r="AB120" s="1" t="s">
        <v>53</v>
      </c>
      <c r="AC120" s="1" t="s">
        <v>53</v>
      </c>
      <c r="AD120" s="1" t="s">
        <v>962</v>
      </c>
      <c r="AE120" s="1" t="s">
        <v>1024</v>
      </c>
      <c r="AR120" s="130"/>
      <c r="BE120" s="130"/>
      <c r="BR120" s="129"/>
      <c r="BS120" s="19"/>
      <c r="BT120" s="19"/>
      <c r="BU120" s="19"/>
      <c r="BV120" s="19"/>
      <c r="BW120" s="19"/>
      <c r="BX120" s="19"/>
      <c r="BY120" s="19"/>
      <c r="BZ120" s="19"/>
      <c r="CA120" s="19"/>
      <c r="CB120" s="19"/>
      <c r="CC120" s="19"/>
      <c r="CD120" s="19"/>
      <c r="CE120" s="19"/>
      <c r="CF120" s="19"/>
      <c r="CG120" s="19"/>
      <c r="CH120" s="19"/>
      <c r="CI120" s="19"/>
      <c r="CJ120" s="19"/>
      <c r="CK120" s="19"/>
      <c r="CL120" s="19"/>
      <c r="CM120" s="19"/>
      <c r="CN120" s="19"/>
      <c r="CO120" s="19"/>
      <c r="CP120" s="19"/>
      <c r="CQ120" s="19"/>
      <c r="CR120" s="19"/>
      <c r="CS120" s="19"/>
      <c r="CT120" s="19"/>
      <c r="CU120" s="19"/>
      <c r="CV120" s="19"/>
      <c r="CW120" s="19"/>
      <c r="CX120" s="19"/>
      <c r="CY120" s="19"/>
      <c r="CZ120" s="19"/>
      <c r="DA120" s="19"/>
      <c r="DB120" s="19"/>
      <c r="DO120" s="1">
        <f t="shared" si="7"/>
        <v>0</v>
      </c>
      <c r="DP120" s="526"/>
    </row>
    <row r="121" spans="1:120" s="1" customFormat="1" ht="25.9" customHeight="1" x14ac:dyDescent="0.2">
      <c r="A121" s="6" t="s">
        <v>1025</v>
      </c>
      <c r="B121" s="33" t="s">
        <v>57</v>
      </c>
      <c r="C121" s="1" t="s">
        <v>1026</v>
      </c>
      <c r="D121" s="1" t="s">
        <v>1027</v>
      </c>
      <c r="E121" s="1" t="s">
        <v>1028</v>
      </c>
      <c r="F121" s="33" t="s">
        <v>49</v>
      </c>
      <c r="G121" s="33" t="s">
        <v>522</v>
      </c>
      <c r="H121" s="1" t="s">
        <v>389</v>
      </c>
      <c r="I121" s="115">
        <v>42507</v>
      </c>
      <c r="J121" s="115">
        <v>42507</v>
      </c>
      <c r="K121" s="1">
        <v>3985154.97</v>
      </c>
      <c r="L121" s="1">
        <v>3985154.97</v>
      </c>
      <c r="M121" s="1">
        <f t="shared" si="14"/>
        <v>0</v>
      </c>
      <c r="P121" s="1">
        <f t="shared" si="15"/>
        <v>0</v>
      </c>
      <c r="S121" s="1">
        <f t="shared" si="16"/>
        <v>0</v>
      </c>
      <c r="U121" s="1">
        <v>0</v>
      </c>
      <c r="X121" s="1" t="s">
        <v>517</v>
      </c>
      <c r="Y121" s="1">
        <v>0</v>
      </c>
      <c r="Z121" s="1">
        <v>0</v>
      </c>
      <c r="AA121" s="1" t="s">
        <v>53</v>
      </c>
      <c r="AB121" s="1" t="s">
        <v>53</v>
      </c>
      <c r="AC121" s="1" t="s">
        <v>53</v>
      </c>
      <c r="AD121" s="1" t="s">
        <v>962</v>
      </c>
      <c r="AE121" s="1" t="s">
        <v>1029</v>
      </c>
      <c r="AR121" s="130"/>
      <c r="BE121" s="130"/>
      <c r="BR121" s="129"/>
      <c r="BS121" s="19"/>
      <c r="BT121" s="19"/>
      <c r="BU121" s="19"/>
      <c r="BV121" s="19"/>
      <c r="BW121" s="19"/>
      <c r="BX121" s="19"/>
      <c r="BY121" s="19"/>
      <c r="BZ121" s="19"/>
      <c r="CA121" s="19"/>
      <c r="CB121" s="19"/>
      <c r="CC121" s="19"/>
      <c r="CD121" s="19"/>
      <c r="CE121" s="19"/>
      <c r="CF121" s="19"/>
      <c r="CG121" s="19"/>
      <c r="CH121" s="19"/>
      <c r="CI121" s="19"/>
      <c r="CJ121" s="19"/>
      <c r="CK121" s="19"/>
      <c r="CL121" s="19"/>
      <c r="CM121" s="19"/>
      <c r="CN121" s="19"/>
      <c r="CO121" s="19"/>
      <c r="CP121" s="19"/>
      <c r="CQ121" s="19"/>
      <c r="CR121" s="19"/>
      <c r="CS121" s="19"/>
      <c r="CT121" s="19"/>
      <c r="CU121" s="19"/>
      <c r="CV121" s="19"/>
      <c r="CW121" s="19"/>
      <c r="CX121" s="19"/>
      <c r="CY121" s="19"/>
      <c r="CZ121" s="19"/>
      <c r="DA121" s="19"/>
      <c r="DB121" s="19"/>
      <c r="DO121" s="1">
        <f t="shared" si="7"/>
        <v>0</v>
      </c>
      <c r="DP121" s="526"/>
    </row>
    <row r="122" spans="1:120" s="1" customFormat="1" ht="25.9" customHeight="1" x14ac:dyDescent="0.2">
      <c r="A122" s="6" t="s">
        <v>1030</v>
      </c>
      <c r="B122" s="33" t="s">
        <v>57</v>
      </c>
      <c r="C122" s="1" t="s">
        <v>1031</v>
      </c>
      <c r="D122" s="1" t="s">
        <v>1032</v>
      </c>
      <c r="E122" s="1" t="s">
        <v>752</v>
      </c>
      <c r="F122" s="33" t="s">
        <v>49</v>
      </c>
      <c r="G122" s="33" t="s">
        <v>1033</v>
      </c>
      <c r="H122" s="1" t="s">
        <v>814</v>
      </c>
      <c r="I122" s="115">
        <v>41737</v>
      </c>
      <c r="J122" s="115">
        <v>43016</v>
      </c>
      <c r="K122" s="1">
        <v>256500</v>
      </c>
      <c r="L122" s="1">
        <v>256500</v>
      </c>
      <c r="M122" s="1">
        <f t="shared" si="14"/>
        <v>0</v>
      </c>
      <c r="P122" s="1">
        <f t="shared" si="15"/>
        <v>0</v>
      </c>
      <c r="S122" s="1">
        <f t="shared" si="16"/>
        <v>0</v>
      </c>
      <c r="U122" s="1">
        <v>0</v>
      </c>
      <c r="X122" s="1" t="s">
        <v>517</v>
      </c>
      <c r="Y122" s="1">
        <v>0</v>
      </c>
      <c r="Z122" s="1">
        <v>0</v>
      </c>
      <c r="AA122" s="1" t="s">
        <v>53</v>
      </c>
      <c r="AB122" s="1" t="s">
        <v>530</v>
      </c>
      <c r="AC122" s="1" t="s">
        <v>53</v>
      </c>
      <c r="AD122" s="1" t="s">
        <v>962</v>
      </c>
      <c r="AE122" s="1" t="s">
        <v>1034</v>
      </c>
      <c r="AR122" s="130"/>
      <c r="BE122" s="130"/>
      <c r="BR122" s="129"/>
      <c r="BS122" s="19"/>
      <c r="BT122" s="19"/>
      <c r="BU122" s="19"/>
      <c r="BV122" s="19"/>
      <c r="BW122" s="19"/>
      <c r="BX122" s="19"/>
      <c r="BY122" s="19"/>
      <c r="BZ122" s="19"/>
      <c r="CA122" s="19"/>
      <c r="CB122" s="19"/>
      <c r="CC122" s="19"/>
      <c r="CD122" s="19"/>
      <c r="CE122" s="19"/>
      <c r="CF122" s="19"/>
      <c r="CG122" s="19"/>
      <c r="CH122" s="19"/>
      <c r="CI122" s="19"/>
      <c r="CJ122" s="19"/>
      <c r="CK122" s="19"/>
      <c r="CL122" s="19"/>
      <c r="CM122" s="19"/>
      <c r="CN122" s="19"/>
      <c r="CO122" s="19"/>
      <c r="CP122" s="19"/>
      <c r="CQ122" s="19"/>
      <c r="CR122" s="19"/>
      <c r="CS122" s="19"/>
      <c r="CT122" s="19"/>
      <c r="CU122" s="19"/>
      <c r="CV122" s="19"/>
      <c r="CW122" s="19"/>
      <c r="CX122" s="19"/>
      <c r="CY122" s="19"/>
      <c r="CZ122" s="19"/>
      <c r="DA122" s="19"/>
      <c r="DB122" s="19"/>
      <c r="DO122" s="1">
        <f t="shared" si="7"/>
        <v>0</v>
      </c>
      <c r="DP122" s="526"/>
    </row>
    <row r="123" spans="1:120" s="1" customFormat="1" ht="25.9" customHeight="1" x14ac:dyDescent="0.2">
      <c r="A123" s="6" t="s">
        <v>1035</v>
      </c>
      <c r="B123" s="33" t="s">
        <v>57</v>
      </c>
      <c r="C123" s="1" t="s">
        <v>1036</v>
      </c>
      <c r="D123" s="1" t="s">
        <v>1037</v>
      </c>
      <c r="E123" s="1" t="s">
        <v>1038</v>
      </c>
      <c r="F123" s="33" t="s">
        <v>49</v>
      </c>
      <c r="G123" s="33" t="s">
        <v>315</v>
      </c>
      <c r="H123" s="1" t="s">
        <v>61</v>
      </c>
      <c r="I123" s="115">
        <v>41885</v>
      </c>
      <c r="J123" s="115">
        <v>42250</v>
      </c>
      <c r="K123" s="1">
        <v>409863.63</v>
      </c>
      <c r="L123" s="1">
        <v>215973.00999999998</v>
      </c>
      <c r="M123" s="1">
        <f t="shared" si="14"/>
        <v>0</v>
      </c>
      <c r="P123" s="1">
        <f t="shared" si="15"/>
        <v>0</v>
      </c>
      <c r="S123" s="1">
        <f t="shared" si="16"/>
        <v>0</v>
      </c>
      <c r="U123" s="1">
        <v>193890.62000000002</v>
      </c>
      <c r="X123" s="1" t="s">
        <v>517</v>
      </c>
      <c r="Y123" s="1">
        <v>0</v>
      </c>
      <c r="Z123" s="1">
        <v>0</v>
      </c>
      <c r="AA123" s="1" t="s">
        <v>53</v>
      </c>
      <c r="AB123" s="1" t="s">
        <v>53</v>
      </c>
      <c r="AC123" s="1" t="s">
        <v>53</v>
      </c>
      <c r="AD123" s="1" t="s">
        <v>962</v>
      </c>
      <c r="AE123" s="1" t="s">
        <v>1039</v>
      </c>
      <c r="AR123" s="130"/>
      <c r="BE123" s="130"/>
      <c r="BR123" s="129"/>
      <c r="BS123" s="19"/>
      <c r="BT123" s="19"/>
      <c r="BU123" s="19"/>
      <c r="BV123" s="19"/>
      <c r="BW123" s="19"/>
      <c r="BX123" s="19"/>
      <c r="BY123" s="19"/>
      <c r="BZ123" s="19"/>
      <c r="CA123" s="19"/>
      <c r="CB123" s="19"/>
      <c r="CC123" s="19"/>
      <c r="CD123" s="19"/>
      <c r="CE123" s="19"/>
      <c r="CF123" s="19"/>
      <c r="CG123" s="19"/>
      <c r="CH123" s="19"/>
      <c r="CI123" s="19"/>
      <c r="CJ123" s="19"/>
      <c r="CK123" s="19"/>
      <c r="CL123" s="19"/>
      <c r="CM123" s="19"/>
      <c r="CN123" s="19"/>
      <c r="CO123" s="19"/>
      <c r="CP123" s="19"/>
      <c r="CQ123" s="19"/>
      <c r="CR123" s="19"/>
      <c r="CS123" s="19"/>
      <c r="CT123" s="19"/>
      <c r="CU123" s="19"/>
      <c r="CV123" s="19"/>
      <c r="CW123" s="19"/>
      <c r="CX123" s="19"/>
      <c r="CY123" s="19"/>
      <c r="CZ123" s="19"/>
      <c r="DA123" s="19"/>
      <c r="DB123" s="19"/>
      <c r="DO123" s="1">
        <f t="shared" si="7"/>
        <v>0</v>
      </c>
      <c r="DP123" s="526"/>
    </row>
    <row r="124" spans="1:120" s="1" customFormat="1" ht="25.9" customHeight="1" x14ac:dyDescent="0.2">
      <c r="A124" s="6" t="s">
        <v>1040</v>
      </c>
      <c r="B124" s="33" t="s">
        <v>57</v>
      </c>
      <c r="C124" s="1" t="s">
        <v>1041</v>
      </c>
      <c r="D124" s="1" t="s">
        <v>1042</v>
      </c>
      <c r="E124" s="1" t="s">
        <v>1043</v>
      </c>
      <c r="F124" s="33" t="s">
        <v>49</v>
      </c>
      <c r="G124" s="33" t="s">
        <v>315</v>
      </c>
      <c r="H124" s="1" t="s">
        <v>563</v>
      </c>
      <c r="I124" s="115">
        <v>41317</v>
      </c>
      <c r="J124" s="115">
        <v>42412</v>
      </c>
      <c r="K124" s="1">
        <v>503984.88</v>
      </c>
      <c r="L124" s="1">
        <v>189183.96999999997</v>
      </c>
      <c r="M124" s="1">
        <f t="shared" si="14"/>
        <v>0</v>
      </c>
      <c r="P124" s="1">
        <f t="shared" si="15"/>
        <v>0</v>
      </c>
      <c r="S124" s="1">
        <f t="shared" si="16"/>
        <v>0</v>
      </c>
      <c r="U124" s="1">
        <v>314800.91000000003</v>
      </c>
      <c r="X124" s="1" t="s">
        <v>517</v>
      </c>
      <c r="Y124" s="1">
        <v>0</v>
      </c>
      <c r="Z124" s="1">
        <v>0</v>
      </c>
      <c r="AA124" s="1" t="s">
        <v>53</v>
      </c>
      <c r="AB124" s="1" t="s">
        <v>53</v>
      </c>
      <c r="AC124" s="1" t="s">
        <v>53</v>
      </c>
      <c r="AD124" s="1" t="s">
        <v>962</v>
      </c>
      <c r="AE124" s="1" t="s">
        <v>1044</v>
      </c>
      <c r="AR124" s="130"/>
      <c r="BE124" s="130"/>
      <c r="BR124" s="129"/>
      <c r="BS124" s="19"/>
      <c r="BT124" s="19"/>
      <c r="BU124" s="19"/>
      <c r="BV124" s="19"/>
      <c r="BW124" s="19"/>
      <c r="BX124" s="19"/>
      <c r="BY124" s="19"/>
      <c r="BZ124" s="19"/>
      <c r="CA124" s="19"/>
      <c r="CB124" s="19"/>
      <c r="CC124" s="19"/>
      <c r="CD124" s="19"/>
      <c r="CE124" s="19"/>
      <c r="CF124" s="19"/>
      <c r="CG124" s="19"/>
      <c r="CH124" s="19"/>
      <c r="CI124" s="19"/>
      <c r="CJ124" s="19"/>
      <c r="CK124" s="19"/>
      <c r="CL124" s="19"/>
      <c r="CM124" s="19"/>
      <c r="CN124" s="19"/>
      <c r="CO124" s="19"/>
      <c r="CP124" s="19"/>
      <c r="CQ124" s="19"/>
      <c r="CR124" s="19"/>
      <c r="CS124" s="19"/>
      <c r="CT124" s="19"/>
      <c r="CU124" s="19"/>
      <c r="CV124" s="19"/>
      <c r="CW124" s="19"/>
      <c r="CX124" s="19"/>
      <c r="CY124" s="19"/>
      <c r="CZ124" s="19"/>
      <c r="DA124" s="19"/>
      <c r="DB124" s="19"/>
      <c r="DO124" s="1">
        <f t="shared" si="7"/>
        <v>0</v>
      </c>
      <c r="DP124" s="526"/>
    </row>
    <row r="125" spans="1:120" s="1" customFormat="1" ht="25.9" customHeight="1" x14ac:dyDescent="0.2">
      <c r="A125" s="6" t="s">
        <v>1045</v>
      </c>
      <c r="B125" s="33" t="s">
        <v>57</v>
      </c>
      <c r="C125" s="1" t="s">
        <v>1046</v>
      </c>
      <c r="D125" s="1" t="s">
        <v>1047</v>
      </c>
      <c r="E125" s="1" t="s">
        <v>1048</v>
      </c>
      <c r="F125" s="33" t="s">
        <v>49</v>
      </c>
      <c r="G125" s="33" t="s">
        <v>315</v>
      </c>
      <c r="H125" s="1" t="s">
        <v>563</v>
      </c>
      <c r="I125" s="115">
        <v>41716</v>
      </c>
      <c r="J125" s="115">
        <v>42812</v>
      </c>
      <c r="K125" s="1">
        <v>315000</v>
      </c>
      <c r="L125" s="1">
        <v>164495.35999999999</v>
      </c>
      <c r="M125" s="1">
        <f t="shared" si="14"/>
        <v>0</v>
      </c>
      <c r="P125" s="1">
        <f t="shared" si="15"/>
        <v>0</v>
      </c>
      <c r="S125" s="1">
        <f t="shared" si="16"/>
        <v>0</v>
      </c>
      <c r="U125" s="1">
        <v>150504.64000000001</v>
      </c>
      <c r="X125" s="1" t="s">
        <v>517</v>
      </c>
      <c r="Y125" s="1">
        <v>0</v>
      </c>
      <c r="Z125" s="1">
        <v>0</v>
      </c>
      <c r="AA125" s="1" t="s">
        <v>53</v>
      </c>
      <c r="AB125" s="1" t="s">
        <v>53</v>
      </c>
      <c r="AC125" s="1" t="s">
        <v>53</v>
      </c>
      <c r="AD125" s="1" t="s">
        <v>962</v>
      </c>
      <c r="AE125" s="1" t="s">
        <v>1049</v>
      </c>
      <c r="AR125" s="130"/>
      <c r="BE125" s="130"/>
      <c r="BR125" s="129"/>
      <c r="BS125" s="19"/>
      <c r="BT125" s="19"/>
      <c r="BU125" s="19"/>
      <c r="BV125" s="19"/>
      <c r="BW125" s="19"/>
      <c r="BX125" s="19"/>
      <c r="BY125" s="19"/>
      <c r="BZ125" s="19"/>
      <c r="CA125" s="19"/>
      <c r="CB125" s="19"/>
      <c r="CC125" s="19"/>
      <c r="CD125" s="19"/>
      <c r="CE125" s="19"/>
      <c r="CF125" s="19"/>
      <c r="CG125" s="19"/>
      <c r="CH125" s="19"/>
      <c r="CI125" s="19"/>
      <c r="CJ125" s="19"/>
      <c r="CK125" s="19"/>
      <c r="CL125" s="19"/>
      <c r="CM125" s="19"/>
      <c r="CN125" s="19"/>
      <c r="CO125" s="19"/>
      <c r="CP125" s="19"/>
      <c r="CQ125" s="19"/>
      <c r="CR125" s="19"/>
      <c r="CS125" s="19"/>
      <c r="CT125" s="19"/>
      <c r="CU125" s="19"/>
      <c r="CV125" s="19"/>
      <c r="CW125" s="19"/>
      <c r="CX125" s="19"/>
      <c r="CY125" s="19"/>
      <c r="CZ125" s="19"/>
      <c r="DA125" s="19"/>
      <c r="DB125" s="19"/>
      <c r="DO125" s="1">
        <f t="shared" si="7"/>
        <v>0</v>
      </c>
      <c r="DP125" s="526"/>
    </row>
    <row r="126" spans="1:120" s="1" customFormat="1" ht="25.9" customHeight="1" x14ac:dyDescent="0.2">
      <c r="A126" s="6" t="s">
        <v>1050</v>
      </c>
      <c r="B126" s="33" t="s">
        <v>57</v>
      </c>
      <c r="C126" s="1" t="s">
        <v>1051</v>
      </c>
      <c r="D126" s="1" t="s">
        <v>617</v>
      </c>
      <c r="F126" s="33" t="s">
        <v>49</v>
      </c>
      <c r="G126" s="33" t="s">
        <v>315</v>
      </c>
      <c r="H126" s="1" t="s">
        <v>61</v>
      </c>
      <c r="I126" s="115">
        <v>42917</v>
      </c>
      <c r="J126" s="115">
        <v>44013</v>
      </c>
      <c r="L126" s="1">
        <v>21144042.569999997</v>
      </c>
      <c r="M126" s="1">
        <f t="shared" si="14"/>
        <v>0</v>
      </c>
      <c r="P126" s="1">
        <f t="shared" si="15"/>
        <v>0</v>
      </c>
      <c r="S126" s="1">
        <f t="shared" si="16"/>
        <v>0</v>
      </c>
      <c r="X126" s="1" t="s">
        <v>52</v>
      </c>
      <c r="Y126" s="1">
        <v>0</v>
      </c>
      <c r="Z126" s="1">
        <v>0</v>
      </c>
      <c r="AA126" s="1" t="s">
        <v>53</v>
      </c>
      <c r="AB126" s="1" t="s">
        <v>53</v>
      </c>
      <c r="AC126" s="1" t="s">
        <v>53</v>
      </c>
      <c r="AD126" s="1" t="s">
        <v>54</v>
      </c>
      <c r="AE126" s="1" t="s">
        <v>70</v>
      </c>
      <c r="AR126" s="130"/>
      <c r="BE126" s="130"/>
      <c r="BR126" s="129"/>
      <c r="BS126" s="19"/>
      <c r="BT126" s="19"/>
      <c r="BU126" s="19"/>
      <c r="BV126" s="19"/>
      <c r="BW126" s="19"/>
      <c r="BX126" s="19"/>
      <c r="BY126" s="19"/>
      <c r="BZ126" s="19"/>
      <c r="CA126" s="19"/>
      <c r="CB126" s="19"/>
      <c r="CC126" s="19"/>
      <c r="CD126" s="19"/>
      <c r="CE126" s="19"/>
      <c r="CF126" s="19"/>
      <c r="CG126" s="19"/>
      <c r="CH126" s="19"/>
      <c r="CI126" s="19"/>
      <c r="CJ126" s="19"/>
      <c r="CK126" s="19"/>
      <c r="CL126" s="19"/>
      <c r="CM126" s="19"/>
      <c r="CN126" s="19"/>
      <c r="CO126" s="19"/>
      <c r="CP126" s="19"/>
      <c r="CQ126" s="19"/>
      <c r="CR126" s="19"/>
      <c r="CS126" s="19"/>
      <c r="CT126" s="19"/>
      <c r="CU126" s="19"/>
      <c r="CV126" s="19"/>
      <c r="CW126" s="19"/>
      <c r="CX126" s="19"/>
      <c r="CY126" s="19"/>
      <c r="CZ126" s="19"/>
      <c r="DA126" s="19"/>
      <c r="DB126" s="19"/>
      <c r="DO126" s="1">
        <f t="shared" si="7"/>
        <v>0</v>
      </c>
      <c r="DP126" s="526"/>
    </row>
    <row r="127" spans="1:120" s="1" customFormat="1" ht="25.9" customHeight="1" x14ac:dyDescent="0.2">
      <c r="A127" s="6" t="s">
        <v>1052</v>
      </c>
      <c r="B127" s="33" t="s">
        <v>57</v>
      </c>
      <c r="C127" s="1" t="s">
        <v>1053</v>
      </c>
      <c r="D127" s="65" t="s">
        <v>1054</v>
      </c>
      <c r="F127" s="33" t="s">
        <v>49</v>
      </c>
      <c r="G127" s="33" t="s">
        <v>315</v>
      </c>
      <c r="H127" s="1" t="s">
        <v>61</v>
      </c>
      <c r="I127" s="115">
        <v>41247</v>
      </c>
      <c r="J127" s="115">
        <v>41612</v>
      </c>
      <c r="L127" s="1">
        <v>7172695.3999999994</v>
      </c>
      <c r="M127" s="1">
        <f t="shared" si="14"/>
        <v>2675365.1500000004</v>
      </c>
      <c r="P127" s="1">
        <f t="shared" si="15"/>
        <v>0</v>
      </c>
      <c r="S127" s="1">
        <f t="shared" si="16"/>
        <v>0</v>
      </c>
      <c r="X127" s="1" t="s">
        <v>517</v>
      </c>
      <c r="Y127" s="1">
        <v>0</v>
      </c>
      <c r="Z127" s="1">
        <v>0</v>
      </c>
      <c r="AA127" s="1" t="s">
        <v>53</v>
      </c>
      <c r="AB127" s="1" t="s">
        <v>53</v>
      </c>
      <c r="AC127" s="1" t="s">
        <v>53</v>
      </c>
      <c r="AD127" s="1" t="s">
        <v>962</v>
      </c>
      <c r="AE127" s="1" t="s">
        <v>70</v>
      </c>
      <c r="AG127" s="1">
        <f>221447.45+297210.59+312826.14</f>
        <v>831484.18</v>
      </c>
      <c r="AH127" s="1">
        <f>357891.35+172926.44+86463.22+250339.8</f>
        <v>867620.81</v>
      </c>
      <c r="AI127" s="1">
        <v>154374.85</v>
      </c>
      <c r="AJ127" s="1">
        <v>171691.66</v>
      </c>
      <c r="AM127" s="1">
        <f>108752+541441.65</f>
        <v>650193.65</v>
      </c>
      <c r="AR127" s="130">
        <f>SUBTOTAL(9,AF127:AQ127)</f>
        <v>2675365.1500000004</v>
      </c>
      <c r="BE127" s="130"/>
      <c r="BR127" s="129"/>
      <c r="BS127" s="19"/>
      <c r="BT127" s="19"/>
      <c r="BU127" s="19"/>
      <c r="BV127" s="19"/>
      <c r="BW127" s="19"/>
      <c r="BX127" s="19"/>
      <c r="BY127" s="19"/>
      <c r="BZ127" s="19"/>
      <c r="CA127" s="19"/>
      <c r="CB127" s="19"/>
      <c r="CC127" s="19"/>
      <c r="CD127" s="19"/>
      <c r="CE127" s="19"/>
      <c r="CF127" s="19"/>
      <c r="CG127" s="19"/>
      <c r="CH127" s="19"/>
      <c r="CI127" s="19"/>
      <c r="CJ127" s="19"/>
      <c r="CK127" s="19"/>
      <c r="CL127" s="19"/>
      <c r="CM127" s="19"/>
      <c r="CN127" s="19"/>
      <c r="CO127" s="19"/>
      <c r="CP127" s="19"/>
      <c r="CQ127" s="19"/>
      <c r="CR127" s="19"/>
      <c r="CS127" s="19"/>
      <c r="CT127" s="19"/>
      <c r="CU127" s="19"/>
      <c r="CV127" s="19"/>
      <c r="CW127" s="19"/>
      <c r="CX127" s="19"/>
      <c r="CY127" s="19"/>
      <c r="CZ127" s="19"/>
      <c r="DA127" s="19"/>
      <c r="DB127" s="19"/>
      <c r="DO127" s="1">
        <f t="shared" si="7"/>
        <v>0</v>
      </c>
      <c r="DP127" s="526"/>
    </row>
    <row r="128" spans="1:120" s="1" customFormat="1" ht="25.9" customHeight="1" x14ac:dyDescent="0.2">
      <c r="A128" s="6" t="s">
        <v>1055</v>
      </c>
      <c r="B128" s="33" t="s">
        <v>57</v>
      </c>
      <c r="C128" s="1" t="s">
        <v>1056</v>
      </c>
      <c r="D128" s="17" t="s">
        <v>628</v>
      </c>
      <c r="E128" s="1" t="s">
        <v>1057</v>
      </c>
      <c r="F128" s="33" t="s">
        <v>49</v>
      </c>
      <c r="G128" s="33" t="s">
        <v>315</v>
      </c>
      <c r="H128" s="1" t="s">
        <v>563</v>
      </c>
      <c r="I128" s="115">
        <v>41828</v>
      </c>
      <c r="J128" s="115"/>
      <c r="K128" s="1" t="s">
        <v>583</v>
      </c>
      <c r="L128" s="1">
        <v>17143907.679999996</v>
      </c>
      <c r="M128" s="1">
        <f t="shared" si="14"/>
        <v>0</v>
      </c>
      <c r="P128" s="1">
        <f t="shared" si="15"/>
        <v>0</v>
      </c>
      <c r="S128" s="1">
        <f t="shared" si="16"/>
        <v>0</v>
      </c>
      <c r="X128" s="1" t="s">
        <v>52</v>
      </c>
      <c r="Y128" s="1">
        <v>0</v>
      </c>
      <c r="Z128" s="1">
        <v>0</v>
      </c>
      <c r="AA128" s="1" t="s">
        <v>53</v>
      </c>
      <c r="AB128" s="1" t="s">
        <v>53</v>
      </c>
      <c r="AC128" s="1" t="s">
        <v>53</v>
      </c>
      <c r="AD128" s="1" t="s">
        <v>962</v>
      </c>
      <c r="AE128" s="1" t="s">
        <v>1058</v>
      </c>
      <c r="AR128" s="130"/>
      <c r="BE128" s="130"/>
      <c r="BR128" s="129"/>
      <c r="BS128" s="19"/>
      <c r="BT128" s="19"/>
      <c r="BU128" s="19"/>
      <c r="BV128" s="19"/>
      <c r="BW128" s="19"/>
      <c r="BX128" s="19"/>
      <c r="BY128" s="19"/>
      <c r="BZ128" s="19"/>
      <c r="CA128" s="19"/>
      <c r="CB128" s="19"/>
      <c r="CC128" s="19"/>
      <c r="CD128" s="19"/>
      <c r="CE128" s="19"/>
      <c r="CF128" s="19"/>
      <c r="CG128" s="19"/>
      <c r="CH128" s="19"/>
      <c r="CI128" s="19"/>
      <c r="CJ128" s="19"/>
      <c r="CK128" s="19"/>
      <c r="CL128" s="19"/>
      <c r="CM128" s="19"/>
      <c r="CN128" s="19"/>
      <c r="CO128" s="19"/>
      <c r="CP128" s="19"/>
      <c r="CQ128" s="19"/>
      <c r="CR128" s="19"/>
      <c r="CS128" s="19"/>
      <c r="CT128" s="19"/>
      <c r="CU128" s="19"/>
      <c r="CV128" s="19"/>
      <c r="CW128" s="19"/>
      <c r="CX128" s="19"/>
      <c r="CY128" s="19"/>
      <c r="CZ128" s="19"/>
      <c r="DA128" s="19"/>
      <c r="DB128" s="19"/>
      <c r="DO128" s="1">
        <f t="shared" si="7"/>
        <v>0</v>
      </c>
      <c r="DP128" s="526"/>
    </row>
    <row r="129" spans="1:120" s="1" customFormat="1" ht="25.9" customHeight="1" x14ac:dyDescent="0.2">
      <c r="A129" s="6" t="s">
        <v>1059</v>
      </c>
      <c r="B129" s="33" t="s">
        <v>57</v>
      </c>
      <c r="C129" s="1" t="s">
        <v>1060</v>
      </c>
      <c r="D129" s="65" t="s">
        <v>1061</v>
      </c>
      <c r="E129" s="1" t="s">
        <v>1062</v>
      </c>
      <c r="F129" s="33" t="s">
        <v>49</v>
      </c>
      <c r="G129" s="33" t="s">
        <v>315</v>
      </c>
      <c r="H129" s="1" t="s">
        <v>61</v>
      </c>
      <c r="I129" s="115">
        <v>42640</v>
      </c>
      <c r="J129" s="115">
        <v>42821</v>
      </c>
      <c r="K129" s="1">
        <v>1368443.05</v>
      </c>
      <c r="L129" s="1">
        <v>1339744.6599999999</v>
      </c>
      <c r="M129" s="1">
        <f t="shared" si="14"/>
        <v>57465.4</v>
      </c>
      <c r="P129" s="1">
        <f t="shared" si="15"/>
        <v>0</v>
      </c>
      <c r="S129" s="1">
        <f t="shared" si="16"/>
        <v>0</v>
      </c>
      <c r="U129" s="1">
        <v>28698.39000000013</v>
      </c>
      <c r="X129" s="1" t="s">
        <v>517</v>
      </c>
      <c r="Y129" s="1">
        <v>0</v>
      </c>
      <c r="Z129" s="1">
        <v>0</v>
      </c>
      <c r="AA129" s="1" t="s">
        <v>53</v>
      </c>
      <c r="AB129" s="1" t="s">
        <v>530</v>
      </c>
      <c r="AC129" s="1" t="s">
        <v>530</v>
      </c>
      <c r="AD129" s="1" t="s">
        <v>1063</v>
      </c>
      <c r="AE129" s="1" t="s">
        <v>1064</v>
      </c>
      <c r="AP129" s="1">
        <v>57465.4</v>
      </c>
      <c r="AR129" s="130">
        <f>SUBTOTAL(9,AF129:AQ129)</f>
        <v>57465.4</v>
      </c>
      <c r="BE129" s="130"/>
      <c r="BR129" s="129"/>
      <c r="BS129" s="19"/>
      <c r="BT129" s="19"/>
      <c r="BU129" s="19"/>
      <c r="BV129" s="19"/>
      <c r="BW129" s="19"/>
      <c r="BX129" s="19"/>
      <c r="BY129" s="19"/>
      <c r="BZ129" s="19"/>
      <c r="CA129" s="19"/>
      <c r="CB129" s="19"/>
      <c r="CC129" s="19"/>
      <c r="CD129" s="19"/>
      <c r="CE129" s="19"/>
      <c r="CF129" s="19"/>
      <c r="CG129" s="19"/>
      <c r="CH129" s="19"/>
      <c r="CI129" s="19"/>
      <c r="CJ129" s="19"/>
      <c r="CK129" s="19"/>
      <c r="CL129" s="19"/>
      <c r="CM129" s="19"/>
      <c r="CN129" s="19"/>
      <c r="CO129" s="19"/>
      <c r="CP129" s="19"/>
      <c r="CQ129" s="19"/>
      <c r="CR129" s="19"/>
      <c r="CS129" s="19"/>
      <c r="CT129" s="19"/>
      <c r="CU129" s="19"/>
      <c r="CV129" s="19"/>
      <c r="CW129" s="19"/>
      <c r="CX129" s="19"/>
      <c r="CY129" s="19"/>
      <c r="CZ129" s="19"/>
      <c r="DA129" s="19"/>
      <c r="DB129" s="19"/>
      <c r="DO129" s="1">
        <f t="shared" si="7"/>
        <v>0</v>
      </c>
      <c r="DP129" s="526"/>
    </row>
    <row r="130" spans="1:120" s="1" customFormat="1" ht="25.9" customHeight="1" x14ac:dyDescent="0.2">
      <c r="A130" s="6" t="s">
        <v>1065</v>
      </c>
      <c r="B130" s="33" t="s">
        <v>57</v>
      </c>
      <c r="C130" s="1" t="s">
        <v>1066</v>
      </c>
      <c r="D130" s="1" t="s">
        <v>1067</v>
      </c>
      <c r="E130" s="1" t="s">
        <v>747</v>
      </c>
      <c r="F130" s="33" t="s">
        <v>49</v>
      </c>
      <c r="G130" s="33" t="s">
        <v>536</v>
      </c>
      <c r="H130" s="1" t="s">
        <v>61</v>
      </c>
      <c r="I130" s="115">
        <v>42640</v>
      </c>
      <c r="J130" s="115">
        <v>42821</v>
      </c>
      <c r="K130" s="1">
        <v>1735404.12</v>
      </c>
      <c r="L130" s="1">
        <v>1740322.08</v>
      </c>
      <c r="M130" s="1">
        <f t="shared" si="14"/>
        <v>0</v>
      </c>
      <c r="P130" s="1">
        <f t="shared" si="15"/>
        <v>0</v>
      </c>
      <c r="S130" s="1">
        <f t="shared" si="16"/>
        <v>0</v>
      </c>
      <c r="U130" s="1">
        <v>-4917.9599999999627</v>
      </c>
      <c r="X130" s="1" t="s">
        <v>52</v>
      </c>
      <c r="Y130" s="1">
        <v>0</v>
      </c>
      <c r="Z130" s="1">
        <v>0</v>
      </c>
      <c r="AA130" s="1" t="s">
        <v>53</v>
      </c>
      <c r="AB130" s="1" t="s">
        <v>530</v>
      </c>
      <c r="AC130" s="1" t="s">
        <v>53</v>
      </c>
      <c r="AD130" s="1" t="s">
        <v>54</v>
      </c>
      <c r="AE130" s="1" t="s">
        <v>1068</v>
      </c>
      <c r="AR130" s="130"/>
      <c r="BE130" s="130"/>
      <c r="BR130" s="129"/>
      <c r="BS130" s="19"/>
      <c r="BT130" s="19"/>
      <c r="BU130" s="19"/>
      <c r="BV130" s="19"/>
      <c r="BW130" s="19"/>
      <c r="BX130" s="19"/>
      <c r="BY130" s="19"/>
      <c r="BZ130" s="19"/>
      <c r="CA130" s="19"/>
      <c r="CB130" s="19"/>
      <c r="CC130" s="19"/>
      <c r="CD130" s="19"/>
      <c r="CE130" s="19"/>
      <c r="CF130" s="19"/>
      <c r="CG130" s="19"/>
      <c r="CH130" s="19"/>
      <c r="CI130" s="19"/>
      <c r="CJ130" s="19"/>
      <c r="CK130" s="19"/>
      <c r="CL130" s="19"/>
      <c r="CM130" s="19"/>
      <c r="CN130" s="19"/>
      <c r="CO130" s="19"/>
      <c r="CP130" s="19"/>
      <c r="CQ130" s="19"/>
      <c r="CR130" s="19"/>
      <c r="CS130" s="19"/>
      <c r="CT130" s="19"/>
      <c r="CU130" s="19"/>
      <c r="CV130" s="19"/>
      <c r="CW130" s="19"/>
      <c r="CX130" s="19"/>
      <c r="CY130" s="19"/>
      <c r="CZ130" s="19"/>
      <c r="DA130" s="19"/>
      <c r="DB130" s="19"/>
      <c r="DO130" s="1">
        <f t="shared" si="7"/>
        <v>0</v>
      </c>
      <c r="DP130" s="526"/>
    </row>
    <row r="131" spans="1:120" s="1" customFormat="1" ht="25.9" customHeight="1" x14ac:dyDescent="0.2">
      <c r="A131" s="6" t="s">
        <v>1069</v>
      </c>
      <c r="B131" s="33" t="s">
        <v>57</v>
      </c>
      <c r="C131" s="1" t="s">
        <v>1070</v>
      </c>
      <c r="D131" s="1" t="s">
        <v>1071</v>
      </c>
      <c r="E131" s="1" t="s">
        <v>1072</v>
      </c>
      <c r="F131" s="33" t="s">
        <v>49</v>
      </c>
      <c r="G131" s="33" t="s">
        <v>536</v>
      </c>
      <c r="H131" s="1" t="s">
        <v>61</v>
      </c>
      <c r="I131" s="115">
        <v>42640</v>
      </c>
      <c r="J131" s="115">
        <v>42821</v>
      </c>
      <c r="K131" s="1">
        <v>3290883.37</v>
      </c>
      <c r="L131" s="1">
        <v>3297668.59</v>
      </c>
      <c r="M131" s="1">
        <f t="shared" si="14"/>
        <v>0</v>
      </c>
      <c r="P131" s="1">
        <f t="shared" si="15"/>
        <v>0</v>
      </c>
      <c r="S131" s="1">
        <f t="shared" si="16"/>
        <v>0</v>
      </c>
      <c r="U131" s="1">
        <v>-6785.2199999997392</v>
      </c>
      <c r="X131" s="1" t="s">
        <v>517</v>
      </c>
      <c r="Y131" s="1">
        <v>0</v>
      </c>
      <c r="Z131" s="1">
        <v>0</v>
      </c>
      <c r="AA131" s="1" t="s">
        <v>53</v>
      </c>
      <c r="AB131" s="1" t="s">
        <v>530</v>
      </c>
      <c r="AC131" s="1" t="s">
        <v>53</v>
      </c>
      <c r="AD131" s="1" t="s">
        <v>1073</v>
      </c>
      <c r="AE131" s="1" t="s">
        <v>1074</v>
      </c>
      <c r="AR131" s="130"/>
      <c r="BE131" s="130"/>
      <c r="BR131" s="129"/>
      <c r="BS131" s="19"/>
      <c r="BT131" s="19"/>
      <c r="BU131" s="19"/>
      <c r="BV131" s="19"/>
      <c r="BW131" s="19"/>
      <c r="BX131" s="19"/>
      <c r="BY131" s="19"/>
      <c r="BZ131" s="19"/>
      <c r="CA131" s="19"/>
      <c r="CB131" s="19"/>
      <c r="CC131" s="19"/>
      <c r="CD131" s="19"/>
      <c r="CE131" s="19"/>
      <c r="CF131" s="19"/>
      <c r="CG131" s="19"/>
      <c r="CH131" s="19"/>
      <c r="CI131" s="19"/>
      <c r="CJ131" s="19"/>
      <c r="CK131" s="19"/>
      <c r="CL131" s="19"/>
      <c r="CM131" s="19"/>
      <c r="CN131" s="19"/>
      <c r="CO131" s="19"/>
      <c r="CP131" s="19"/>
      <c r="CQ131" s="19"/>
      <c r="CR131" s="19"/>
      <c r="CS131" s="19"/>
      <c r="CT131" s="19"/>
      <c r="CU131" s="19"/>
      <c r="CV131" s="19"/>
      <c r="CW131" s="19"/>
      <c r="CX131" s="19"/>
      <c r="CY131" s="19"/>
      <c r="CZ131" s="19"/>
      <c r="DA131" s="19"/>
      <c r="DB131" s="19"/>
      <c r="DO131" s="1">
        <f t="shared" ref="DO131:DO194" si="17">SUM(DC131:DN131)</f>
        <v>0</v>
      </c>
      <c r="DP131" s="526"/>
    </row>
    <row r="132" spans="1:120" s="1" customFormat="1" ht="25.9" customHeight="1" x14ac:dyDescent="0.2">
      <c r="A132" s="6" t="s">
        <v>1075</v>
      </c>
      <c r="B132" s="33" t="s">
        <v>57</v>
      </c>
      <c r="C132" s="1" t="s">
        <v>1076</v>
      </c>
      <c r="D132" s="1" t="s">
        <v>1077</v>
      </c>
      <c r="E132" s="1" t="s">
        <v>1078</v>
      </c>
      <c r="F132" s="33" t="s">
        <v>49</v>
      </c>
      <c r="G132" s="33" t="s">
        <v>516</v>
      </c>
      <c r="H132" s="1" t="s">
        <v>61</v>
      </c>
      <c r="I132" s="115">
        <v>42640</v>
      </c>
      <c r="J132" s="115">
        <v>42731</v>
      </c>
      <c r="K132" s="1">
        <v>497592.9</v>
      </c>
      <c r="L132" s="1">
        <v>473785.84</v>
      </c>
      <c r="M132" s="1">
        <f t="shared" si="14"/>
        <v>0</v>
      </c>
      <c r="P132" s="1">
        <f t="shared" si="15"/>
        <v>0</v>
      </c>
      <c r="S132" s="1">
        <f t="shared" si="16"/>
        <v>0</v>
      </c>
      <c r="U132" s="1">
        <v>23807.059999999998</v>
      </c>
      <c r="X132" s="1" t="s">
        <v>517</v>
      </c>
      <c r="Y132" s="1">
        <v>0</v>
      </c>
      <c r="Z132" s="1">
        <v>0</v>
      </c>
      <c r="AA132" s="1" t="s">
        <v>53</v>
      </c>
      <c r="AB132" s="1" t="s">
        <v>53</v>
      </c>
      <c r="AC132" s="1" t="s">
        <v>53</v>
      </c>
      <c r="AD132" s="1" t="s">
        <v>1063</v>
      </c>
      <c r="AE132" s="1" t="s">
        <v>1079</v>
      </c>
      <c r="AR132" s="130"/>
      <c r="BE132" s="130"/>
      <c r="BR132" s="129"/>
      <c r="BS132" s="19"/>
      <c r="BT132" s="19"/>
      <c r="BU132" s="19"/>
      <c r="BV132" s="19"/>
      <c r="BW132" s="19"/>
      <c r="BX132" s="19"/>
      <c r="BY132" s="19"/>
      <c r="BZ132" s="19"/>
      <c r="CA132" s="19"/>
      <c r="CB132" s="19"/>
      <c r="CC132" s="19"/>
      <c r="CD132" s="19"/>
      <c r="CE132" s="19"/>
      <c r="CF132" s="19"/>
      <c r="CG132" s="19"/>
      <c r="CH132" s="19"/>
      <c r="CI132" s="19"/>
      <c r="CJ132" s="19"/>
      <c r="CK132" s="19"/>
      <c r="CL132" s="19"/>
      <c r="CM132" s="19"/>
      <c r="CN132" s="19"/>
      <c r="CO132" s="19"/>
      <c r="CP132" s="19"/>
      <c r="CQ132" s="19"/>
      <c r="CR132" s="19"/>
      <c r="CS132" s="19"/>
      <c r="CT132" s="19"/>
      <c r="CU132" s="19"/>
      <c r="CV132" s="19"/>
      <c r="CW132" s="19"/>
      <c r="CX132" s="19"/>
      <c r="CY132" s="19"/>
      <c r="CZ132" s="19"/>
      <c r="DA132" s="19"/>
      <c r="DB132" s="19"/>
      <c r="DO132" s="1">
        <f t="shared" si="17"/>
        <v>0</v>
      </c>
      <c r="DP132" s="526"/>
    </row>
    <row r="133" spans="1:120" s="1" customFormat="1" ht="25.9" customHeight="1" x14ac:dyDescent="0.2">
      <c r="A133" s="6" t="s">
        <v>1080</v>
      </c>
      <c r="B133" s="33" t="s">
        <v>57</v>
      </c>
      <c r="C133" s="1" t="s">
        <v>1081</v>
      </c>
      <c r="D133" s="1" t="s">
        <v>1082</v>
      </c>
      <c r="E133" s="1" t="s">
        <v>299</v>
      </c>
      <c r="F133" s="33" t="s">
        <v>49</v>
      </c>
      <c r="G133" s="33" t="s">
        <v>536</v>
      </c>
      <c r="H133" s="1" t="s">
        <v>61</v>
      </c>
      <c r="I133" s="115">
        <v>42282</v>
      </c>
      <c r="J133" s="115">
        <v>42526</v>
      </c>
      <c r="K133" s="1">
        <v>2396694.96</v>
      </c>
      <c r="L133" s="1">
        <v>120489.72</v>
      </c>
      <c r="M133" s="1">
        <f t="shared" si="14"/>
        <v>0</v>
      </c>
      <c r="P133" s="1">
        <f t="shared" si="15"/>
        <v>0</v>
      </c>
      <c r="S133" s="1">
        <f t="shared" si="16"/>
        <v>0</v>
      </c>
      <c r="U133" s="1">
        <v>2276205.2399999998</v>
      </c>
      <c r="X133" s="1" t="s">
        <v>517</v>
      </c>
      <c r="Y133" s="1">
        <v>0</v>
      </c>
      <c r="Z133" s="1">
        <v>0</v>
      </c>
      <c r="AA133" s="1" t="s">
        <v>53</v>
      </c>
      <c r="AB133" s="1" t="s">
        <v>530</v>
      </c>
      <c r="AC133" s="1" t="s">
        <v>530</v>
      </c>
      <c r="AD133" s="1" t="s">
        <v>1073</v>
      </c>
      <c r="AE133" s="1" t="s">
        <v>1083</v>
      </c>
      <c r="AR133" s="130"/>
      <c r="BE133" s="130"/>
      <c r="BR133" s="129"/>
      <c r="BS133" s="19"/>
      <c r="BT133" s="19"/>
      <c r="BU133" s="19"/>
      <c r="BV133" s="19"/>
      <c r="BW133" s="19"/>
      <c r="BX133" s="19"/>
      <c r="BY133" s="19"/>
      <c r="BZ133" s="19"/>
      <c r="CA133" s="19"/>
      <c r="CB133" s="19"/>
      <c r="CC133" s="19"/>
      <c r="CD133" s="19"/>
      <c r="CE133" s="19"/>
      <c r="CF133" s="19"/>
      <c r="CG133" s="19"/>
      <c r="CH133" s="19"/>
      <c r="CI133" s="19"/>
      <c r="CJ133" s="19"/>
      <c r="CK133" s="19"/>
      <c r="CL133" s="19"/>
      <c r="CM133" s="19"/>
      <c r="CN133" s="19"/>
      <c r="CO133" s="19"/>
      <c r="CP133" s="19"/>
      <c r="CQ133" s="19"/>
      <c r="CR133" s="19"/>
      <c r="CS133" s="19"/>
      <c r="CT133" s="19"/>
      <c r="CU133" s="19"/>
      <c r="CV133" s="19"/>
      <c r="CW133" s="19"/>
      <c r="CX133" s="19"/>
      <c r="CY133" s="19"/>
      <c r="CZ133" s="19"/>
      <c r="DA133" s="19"/>
      <c r="DB133" s="19"/>
      <c r="DO133" s="1">
        <f t="shared" si="17"/>
        <v>0</v>
      </c>
      <c r="DP133" s="526"/>
    </row>
    <row r="134" spans="1:120" s="1" customFormat="1" ht="25.9" customHeight="1" x14ac:dyDescent="0.2">
      <c r="A134" s="6" t="s">
        <v>1084</v>
      </c>
      <c r="B134" s="33" t="s">
        <v>57</v>
      </c>
      <c r="C134" s="1" t="s">
        <v>1085</v>
      </c>
      <c r="D134" s="1" t="s">
        <v>1086</v>
      </c>
      <c r="E134" s="1" t="s">
        <v>757</v>
      </c>
      <c r="F134" s="33" t="s">
        <v>49</v>
      </c>
      <c r="G134" s="33" t="s">
        <v>315</v>
      </c>
      <c r="H134" s="1" t="s">
        <v>61</v>
      </c>
      <c r="I134" s="115">
        <v>42558</v>
      </c>
      <c r="J134" s="115">
        <v>42742</v>
      </c>
      <c r="K134" s="1">
        <v>2555282.0699999998</v>
      </c>
      <c r="L134" s="1">
        <v>2714648.72</v>
      </c>
      <c r="M134" s="1">
        <f t="shared" si="14"/>
        <v>0</v>
      </c>
      <c r="P134" s="1">
        <f t="shared" si="15"/>
        <v>0</v>
      </c>
      <c r="S134" s="1">
        <f t="shared" si="16"/>
        <v>0</v>
      </c>
      <c r="U134" s="1">
        <v>-159366.65000000037</v>
      </c>
      <c r="X134" s="1" t="s">
        <v>52</v>
      </c>
      <c r="Y134" s="1">
        <v>0</v>
      </c>
      <c r="Z134" s="1">
        <v>0</v>
      </c>
      <c r="AA134" s="1" t="s">
        <v>53</v>
      </c>
      <c r="AB134" s="1" t="s">
        <v>530</v>
      </c>
      <c r="AC134" s="1" t="s">
        <v>530</v>
      </c>
      <c r="AD134" s="1" t="s">
        <v>1073</v>
      </c>
      <c r="AE134" s="1" t="s">
        <v>1087</v>
      </c>
      <c r="AR134" s="130"/>
      <c r="BE134" s="130"/>
      <c r="BR134" s="129"/>
      <c r="BS134" s="19"/>
      <c r="BT134" s="19"/>
      <c r="BU134" s="19"/>
      <c r="BV134" s="19"/>
      <c r="BW134" s="19"/>
      <c r="BX134" s="19"/>
      <c r="BY134" s="19"/>
      <c r="BZ134" s="19"/>
      <c r="CA134" s="19"/>
      <c r="CB134" s="19"/>
      <c r="CC134" s="19"/>
      <c r="CD134" s="19"/>
      <c r="CE134" s="19"/>
      <c r="CF134" s="19"/>
      <c r="CG134" s="19"/>
      <c r="CH134" s="19"/>
      <c r="CI134" s="19"/>
      <c r="CJ134" s="19"/>
      <c r="CK134" s="19"/>
      <c r="CL134" s="19"/>
      <c r="CM134" s="19"/>
      <c r="CN134" s="19"/>
      <c r="CO134" s="19"/>
      <c r="CP134" s="19"/>
      <c r="CQ134" s="19"/>
      <c r="CR134" s="19"/>
      <c r="CS134" s="19"/>
      <c r="CT134" s="19"/>
      <c r="CU134" s="19"/>
      <c r="CV134" s="19"/>
      <c r="CW134" s="19"/>
      <c r="CX134" s="19"/>
      <c r="CY134" s="19"/>
      <c r="CZ134" s="19"/>
      <c r="DA134" s="19"/>
      <c r="DB134" s="19"/>
      <c r="DO134" s="1">
        <f t="shared" si="17"/>
        <v>0</v>
      </c>
      <c r="DP134" s="526"/>
    </row>
    <row r="135" spans="1:120" s="1" customFormat="1" ht="25.9" customHeight="1" x14ac:dyDescent="0.2">
      <c r="A135" s="6" t="s">
        <v>1088</v>
      </c>
      <c r="B135" s="33" t="s">
        <v>57</v>
      </c>
      <c r="C135" s="1" t="s">
        <v>1089</v>
      </c>
      <c r="D135" s="1" t="s">
        <v>1090</v>
      </c>
      <c r="E135" s="1" t="s">
        <v>1091</v>
      </c>
      <c r="F135" s="33" t="s">
        <v>49</v>
      </c>
      <c r="G135" s="33" t="s">
        <v>536</v>
      </c>
      <c r="H135" s="1" t="s">
        <v>61</v>
      </c>
      <c r="I135" s="115">
        <v>42640</v>
      </c>
      <c r="J135" s="115">
        <v>42821</v>
      </c>
      <c r="K135" s="1">
        <v>5181020.13</v>
      </c>
      <c r="L135" s="1">
        <v>5918109.8200000003</v>
      </c>
      <c r="M135" s="1">
        <f t="shared" si="14"/>
        <v>0</v>
      </c>
      <c r="P135" s="1">
        <f t="shared" si="15"/>
        <v>0</v>
      </c>
      <c r="S135" s="1">
        <f t="shared" si="16"/>
        <v>0</v>
      </c>
      <c r="U135" s="1">
        <v>-737089.69000000041</v>
      </c>
      <c r="X135" s="1" t="s">
        <v>52</v>
      </c>
      <c r="Y135" s="1">
        <v>0</v>
      </c>
      <c r="Z135" s="1">
        <v>0</v>
      </c>
      <c r="AA135" s="1" t="s">
        <v>53</v>
      </c>
      <c r="AB135" s="1" t="s">
        <v>530</v>
      </c>
      <c r="AC135" s="1" t="s">
        <v>530</v>
      </c>
      <c r="AD135" s="1" t="s">
        <v>1073</v>
      </c>
      <c r="AE135" s="1" t="s">
        <v>1092</v>
      </c>
      <c r="AR135" s="130"/>
      <c r="BE135" s="130"/>
      <c r="BR135" s="129"/>
      <c r="BS135" s="19"/>
      <c r="BT135" s="19"/>
      <c r="BU135" s="19"/>
      <c r="BV135" s="19"/>
      <c r="BW135" s="19"/>
      <c r="BX135" s="19"/>
      <c r="BY135" s="19"/>
      <c r="BZ135" s="19"/>
      <c r="CA135" s="19"/>
      <c r="CB135" s="19"/>
      <c r="CC135" s="19"/>
      <c r="CD135" s="19"/>
      <c r="CE135" s="19"/>
      <c r="CF135" s="19"/>
      <c r="CG135" s="19"/>
      <c r="CH135" s="19"/>
      <c r="CI135" s="19"/>
      <c r="CJ135" s="19"/>
      <c r="CK135" s="19"/>
      <c r="CL135" s="19"/>
      <c r="CM135" s="19"/>
      <c r="CN135" s="19"/>
      <c r="CO135" s="19"/>
      <c r="CP135" s="19"/>
      <c r="CQ135" s="19"/>
      <c r="CR135" s="19"/>
      <c r="CS135" s="19"/>
      <c r="CT135" s="19"/>
      <c r="CU135" s="19"/>
      <c r="CV135" s="19"/>
      <c r="CW135" s="19"/>
      <c r="CX135" s="19"/>
      <c r="CY135" s="19"/>
      <c r="CZ135" s="19"/>
      <c r="DA135" s="19"/>
      <c r="DB135" s="19"/>
      <c r="DO135" s="1">
        <f t="shared" si="17"/>
        <v>0</v>
      </c>
      <c r="DP135" s="526"/>
    </row>
    <row r="136" spans="1:120" s="1" customFormat="1" ht="25.9" customHeight="1" x14ac:dyDescent="0.2">
      <c r="A136" s="6" t="s">
        <v>1093</v>
      </c>
      <c r="B136" s="33" t="s">
        <v>57</v>
      </c>
      <c r="C136" s="1" t="s">
        <v>1094</v>
      </c>
      <c r="D136" s="1" t="s">
        <v>1095</v>
      </c>
      <c r="E136" s="1" t="s">
        <v>1096</v>
      </c>
      <c r="F136" s="33" t="s">
        <v>49</v>
      </c>
      <c r="G136" s="33" t="s">
        <v>536</v>
      </c>
      <c r="H136" s="1" t="s">
        <v>61</v>
      </c>
      <c r="I136" s="115">
        <v>42640</v>
      </c>
      <c r="J136" s="115">
        <v>42821</v>
      </c>
      <c r="K136" s="1">
        <v>2783017.02</v>
      </c>
      <c r="L136" s="1">
        <v>1686963.2999999998</v>
      </c>
      <c r="M136" s="1">
        <f t="shared" si="14"/>
        <v>0</v>
      </c>
      <c r="P136" s="1" t="e">
        <f>#REF!</f>
        <v>#REF!</v>
      </c>
      <c r="S136" s="1">
        <f t="shared" si="16"/>
        <v>0</v>
      </c>
      <c r="U136" s="1">
        <v>1096053.7200000002</v>
      </c>
      <c r="X136" s="1" t="s">
        <v>517</v>
      </c>
      <c r="Y136" s="1">
        <v>0</v>
      </c>
      <c r="Z136" s="1">
        <v>0</v>
      </c>
      <c r="AA136" s="1" t="s">
        <v>53</v>
      </c>
      <c r="AB136" s="1" t="s">
        <v>530</v>
      </c>
      <c r="AC136" s="1" t="s">
        <v>530</v>
      </c>
      <c r="AD136" s="1" t="s">
        <v>1073</v>
      </c>
      <c r="AE136" s="1" t="s">
        <v>1097</v>
      </c>
      <c r="AR136" s="130"/>
      <c r="BE136" s="130"/>
      <c r="BR136" s="129"/>
      <c r="BS136" s="19"/>
      <c r="BT136" s="19"/>
      <c r="BU136" s="19"/>
      <c r="BV136" s="19"/>
      <c r="BW136" s="19"/>
      <c r="BX136" s="19"/>
      <c r="BY136" s="19"/>
      <c r="BZ136" s="19"/>
      <c r="CA136" s="19"/>
      <c r="CB136" s="19"/>
      <c r="CC136" s="19"/>
      <c r="CD136" s="19"/>
      <c r="CE136" s="19"/>
      <c r="CF136" s="19"/>
      <c r="CG136" s="19"/>
      <c r="CH136" s="19"/>
      <c r="CI136" s="19"/>
      <c r="CJ136" s="19"/>
      <c r="CK136" s="19"/>
      <c r="CL136" s="19"/>
      <c r="CM136" s="19"/>
      <c r="CN136" s="19"/>
      <c r="CO136" s="19"/>
      <c r="CP136" s="19"/>
      <c r="CQ136" s="19"/>
      <c r="CR136" s="19"/>
      <c r="CS136" s="19"/>
      <c r="CT136" s="19"/>
      <c r="CU136" s="19"/>
      <c r="CV136" s="19"/>
      <c r="CW136" s="19"/>
      <c r="CX136" s="19"/>
      <c r="CY136" s="19"/>
      <c r="CZ136" s="19"/>
      <c r="DA136" s="19"/>
      <c r="DB136" s="19"/>
      <c r="DO136" s="1">
        <f t="shared" si="17"/>
        <v>0</v>
      </c>
      <c r="DP136" s="526"/>
    </row>
    <row r="137" spans="1:120" s="1" customFormat="1" ht="25.9" customHeight="1" x14ac:dyDescent="0.2">
      <c r="A137" s="6" t="s">
        <v>1098</v>
      </c>
      <c r="B137" s="33" t="s">
        <v>57</v>
      </c>
      <c r="C137" s="1" t="s">
        <v>1099</v>
      </c>
      <c r="D137" s="1" t="s">
        <v>1100</v>
      </c>
      <c r="E137" s="1" t="s">
        <v>1101</v>
      </c>
      <c r="F137" s="33" t="s">
        <v>49</v>
      </c>
      <c r="G137" s="33" t="s">
        <v>536</v>
      </c>
      <c r="H137" s="1" t="s">
        <v>61</v>
      </c>
      <c r="I137" s="115">
        <v>42559</v>
      </c>
      <c r="J137" s="115">
        <v>42743</v>
      </c>
      <c r="K137" s="1">
        <v>1060000</v>
      </c>
      <c r="L137" s="1">
        <v>859604.16999999993</v>
      </c>
      <c r="M137" s="1">
        <f t="shared" si="14"/>
        <v>0</v>
      </c>
      <c r="P137" s="1">
        <f t="shared" ref="P137:P179" si="18">BE138</f>
        <v>0</v>
      </c>
      <c r="S137" s="1">
        <f t="shared" si="16"/>
        <v>0</v>
      </c>
      <c r="U137" s="1">
        <v>200395.83000000007</v>
      </c>
      <c r="X137" s="1" t="s">
        <v>517</v>
      </c>
      <c r="Y137" s="1">
        <v>0</v>
      </c>
      <c r="Z137" s="1">
        <v>0</v>
      </c>
      <c r="AA137" s="1" t="s">
        <v>53</v>
      </c>
      <c r="AB137" s="1" t="s">
        <v>1102</v>
      </c>
      <c r="AC137" s="1" t="s">
        <v>530</v>
      </c>
      <c r="AD137" s="1" t="s">
        <v>1073</v>
      </c>
      <c r="AE137" s="1" t="s">
        <v>1103</v>
      </c>
      <c r="AR137" s="130">
        <f t="shared" ref="AR137:AR168" si="19">SUBTOTAL(9,AF137:AQ137)</f>
        <v>0</v>
      </c>
      <c r="BE137" s="130"/>
      <c r="BR137" s="129"/>
      <c r="BS137" s="19"/>
      <c r="BT137" s="19"/>
      <c r="BU137" s="19"/>
      <c r="BV137" s="19"/>
      <c r="BW137" s="19"/>
      <c r="BX137" s="19"/>
      <c r="BY137" s="19"/>
      <c r="BZ137" s="19"/>
      <c r="CA137" s="19"/>
      <c r="CB137" s="19"/>
      <c r="CC137" s="19"/>
      <c r="CD137" s="19"/>
      <c r="CE137" s="19"/>
      <c r="CF137" s="19"/>
      <c r="CG137" s="19"/>
      <c r="CH137" s="19"/>
      <c r="CI137" s="19"/>
      <c r="CJ137" s="19"/>
      <c r="CK137" s="19"/>
      <c r="CL137" s="19"/>
      <c r="CM137" s="19"/>
      <c r="CN137" s="19"/>
      <c r="CO137" s="19"/>
      <c r="CP137" s="19"/>
      <c r="CQ137" s="19"/>
      <c r="CR137" s="19"/>
      <c r="CS137" s="19"/>
      <c r="CT137" s="19"/>
      <c r="CU137" s="19"/>
      <c r="CV137" s="19"/>
      <c r="CW137" s="19"/>
      <c r="CX137" s="19"/>
      <c r="CY137" s="19"/>
      <c r="CZ137" s="19"/>
      <c r="DA137" s="19"/>
      <c r="DB137" s="19"/>
      <c r="DO137" s="1">
        <f t="shared" si="17"/>
        <v>0</v>
      </c>
      <c r="DP137" s="526"/>
    </row>
    <row r="138" spans="1:120" s="1" customFormat="1" ht="25.9" customHeight="1" x14ac:dyDescent="0.2">
      <c r="A138" s="6" t="s">
        <v>1104</v>
      </c>
      <c r="B138" s="33" t="s">
        <v>57</v>
      </c>
      <c r="C138" s="1" t="s">
        <v>1105</v>
      </c>
      <c r="D138" s="1" t="s">
        <v>727</v>
      </c>
      <c r="E138" s="1" t="s">
        <v>728</v>
      </c>
      <c r="F138" s="33" t="s">
        <v>49</v>
      </c>
      <c r="G138" s="33" t="s">
        <v>536</v>
      </c>
      <c r="H138" s="1" t="s">
        <v>61</v>
      </c>
      <c r="I138" s="115">
        <v>42558</v>
      </c>
      <c r="J138" s="115">
        <v>42742</v>
      </c>
      <c r="K138" s="1">
        <v>3718576.48</v>
      </c>
      <c r="L138" s="1">
        <v>2205213.1</v>
      </c>
      <c r="M138" s="1">
        <f t="shared" si="14"/>
        <v>0</v>
      </c>
      <c r="P138" s="1">
        <f t="shared" si="18"/>
        <v>0</v>
      </c>
      <c r="S138" s="1">
        <f t="shared" si="16"/>
        <v>0</v>
      </c>
      <c r="U138" s="1">
        <v>1513363.38</v>
      </c>
      <c r="X138" s="1" t="s">
        <v>517</v>
      </c>
      <c r="Y138" s="1">
        <v>0</v>
      </c>
      <c r="Z138" s="1">
        <v>0</v>
      </c>
      <c r="AA138" s="1" t="s">
        <v>53</v>
      </c>
      <c r="AB138" s="1" t="s">
        <v>530</v>
      </c>
      <c r="AC138" s="1" t="s">
        <v>530</v>
      </c>
      <c r="AD138" s="1" t="s">
        <v>54</v>
      </c>
      <c r="AE138" s="1" t="s">
        <v>1106</v>
      </c>
      <c r="AR138" s="130">
        <f t="shared" si="19"/>
        <v>0</v>
      </c>
      <c r="BE138" s="130"/>
      <c r="BR138" s="129"/>
      <c r="BS138" s="19"/>
      <c r="BT138" s="19"/>
      <c r="BU138" s="19"/>
      <c r="BV138" s="19"/>
      <c r="BW138" s="19"/>
      <c r="BX138" s="19"/>
      <c r="BY138" s="19"/>
      <c r="BZ138" s="19"/>
      <c r="CA138" s="19"/>
      <c r="CB138" s="19"/>
      <c r="CC138" s="19"/>
      <c r="CD138" s="19"/>
      <c r="CE138" s="19"/>
      <c r="CF138" s="19"/>
      <c r="CG138" s="19"/>
      <c r="CH138" s="19"/>
      <c r="CI138" s="19"/>
      <c r="CJ138" s="19"/>
      <c r="CK138" s="19"/>
      <c r="CL138" s="19"/>
      <c r="CM138" s="19"/>
      <c r="CN138" s="19"/>
      <c r="CO138" s="19"/>
      <c r="CP138" s="19"/>
      <c r="CQ138" s="19"/>
      <c r="CR138" s="19"/>
      <c r="CS138" s="19"/>
      <c r="CT138" s="19"/>
      <c r="CU138" s="19"/>
      <c r="CV138" s="19"/>
      <c r="CW138" s="19"/>
      <c r="CX138" s="19"/>
      <c r="CY138" s="19"/>
      <c r="CZ138" s="19"/>
      <c r="DA138" s="19"/>
      <c r="DB138" s="19"/>
      <c r="DO138" s="1">
        <f t="shared" si="17"/>
        <v>0</v>
      </c>
      <c r="DP138" s="526"/>
    </row>
    <row r="139" spans="1:120" s="1" customFormat="1" ht="25.9" customHeight="1" x14ac:dyDescent="0.2">
      <c r="A139" s="6" t="s">
        <v>1107</v>
      </c>
      <c r="B139" s="33" t="s">
        <v>57</v>
      </c>
      <c r="C139" s="1" t="s">
        <v>1108</v>
      </c>
      <c r="D139" s="1" t="s">
        <v>145</v>
      </c>
      <c r="E139" s="1" t="s">
        <v>146</v>
      </c>
      <c r="F139" s="33" t="s">
        <v>49</v>
      </c>
      <c r="G139" s="33" t="s">
        <v>536</v>
      </c>
      <c r="H139" s="1" t="s">
        <v>61</v>
      </c>
      <c r="I139" s="115">
        <v>42577</v>
      </c>
      <c r="J139" s="115">
        <v>42761</v>
      </c>
      <c r="K139" s="1">
        <v>3608290.95</v>
      </c>
      <c r="L139" s="1">
        <v>2987814.6199999996</v>
      </c>
      <c r="M139" s="1">
        <f t="shared" si="14"/>
        <v>0</v>
      </c>
      <c r="P139" s="1">
        <f t="shared" si="18"/>
        <v>0</v>
      </c>
      <c r="S139" s="1">
        <f t="shared" si="16"/>
        <v>0</v>
      </c>
      <c r="U139" s="1">
        <v>620476.33000000054</v>
      </c>
      <c r="X139" s="1" t="s">
        <v>517</v>
      </c>
      <c r="Y139" s="1">
        <v>0</v>
      </c>
      <c r="Z139" s="1">
        <v>0</v>
      </c>
      <c r="AA139" s="1" t="s">
        <v>53</v>
      </c>
      <c r="AB139" s="1" t="s">
        <v>530</v>
      </c>
      <c r="AC139" s="1" t="s">
        <v>530</v>
      </c>
      <c r="AD139" s="1" t="s">
        <v>1073</v>
      </c>
      <c r="AE139" s="1" t="s">
        <v>1109</v>
      </c>
      <c r="AR139" s="130">
        <f t="shared" si="19"/>
        <v>0</v>
      </c>
      <c r="BE139" s="130"/>
      <c r="BR139" s="129"/>
      <c r="BS139" s="19"/>
      <c r="BT139" s="19"/>
      <c r="BU139" s="19"/>
      <c r="BV139" s="19"/>
      <c r="BW139" s="19"/>
      <c r="BX139" s="19"/>
      <c r="BY139" s="19"/>
      <c r="BZ139" s="19"/>
      <c r="CA139" s="19"/>
      <c r="CB139" s="19"/>
      <c r="CC139" s="19"/>
      <c r="CD139" s="19"/>
      <c r="CE139" s="19"/>
      <c r="CF139" s="19"/>
      <c r="CG139" s="19"/>
      <c r="CH139" s="19"/>
      <c r="CI139" s="19"/>
      <c r="CJ139" s="19"/>
      <c r="CK139" s="19"/>
      <c r="CL139" s="19"/>
      <c r="CM139" s="19"/>
      <c r="CN139" s="19"/>
      <c r="CO139" s="19"/>
      <c r="CP139" s="19"/>
      <c r="CQ139" s="19"/>
      <c r="CR139" s="19"/>
      <c r="CS139" s="19"/>
      <c r="CT139" s="19"/>
      <c r="CU139" s="19"/>
      <c r="CV139" s="19"/>
      <c r="CW139" s="19"/>
      <c r="CX139" s="19"/>
      <c r="CY139" s="19"/>
      <c r="CZ139" s="19"/>
      <c r="DA139" s="19"/>
      <c r="DB139" s="19"/>
      <c r="DO139" s="1">
        <f t="shared" si="17"/>
        <v>0</v>
      </c>
      <c r="DP139" s="526"/>
    </row>
    <row r="140" spans="1:120" s="1" customFormat="1" ht="25.9" customHeight="1" x14ac:dyDescent="0.2">
      <c r="A140" s="6" t="s">
        <v>1110</v>
      </c>
      <c r="B140" s="33" t="s">
        <v>57</v>
      </c>
      <c r="C140" s="1" t="s">
        <v>1111</v>
      </c>
      <c r="D140" s="1" t="s">
        <v>1112</v>
      </c>
      <c r="E140" s="1" t="s">
        <v>1113</v>
      </c>
      <c r="F140" s="33" t="s">
        <v>49</v>
      </c>
      <c r="G140" s="33" t="s">
        <v>536</v>
      </c>
      <c r="H140" s="1" t="s">
        <v>61</v>
      </c>
      <c r="I140" s="115">
        <v>42559</v>
      </c>
      <c r="J140" s="115">
        <v>42743</v>
      </c>
      <c r="K140" s="1">
        <v>4266007.68</v>
      </c>
      <c r="L140" s="1">
        <v>2197706.8200000003</v>
      </c>
      <c r="M140" s="1">
        <f t="shared" si="14"/>
        <v>0</v>
      </c>
      <c r="P140" s="1">
        <f t="shared" si="18"/>
        <v>0</v>
      </c>
      <c r="S140" s="1">
        <f t="shared" si="16"/>
        <v>0</v>
      </c>
      <c r="U140" s="1">
        <v>2068300.8599999994</v>
      </c>
      <c r="X140" s="1" t="s">
        <v>52</v>
      </c>
      <c r="Y140" s="1">
        <v>0</v>
      </c>
      <c r="Z140" s="1">
        <v>0</v>
      </c>
      <c r="AA140" s="1" t="s">
        <v>53</v>
      </c>
      <c r="AB140" s="1" t="s">
        <v>530</v>
      </c>
      <c r="AC140" s="1" t="s">
        <v>53</v>
      </c>
      <c r="AD140" s="1" t="s">
        <v>54</v>
      </c>
      <c r="AE140" s="1" t="s">
        <v>1114</v>
      </c>
      <c r="AR140" s="130">
        <f t="shared" si="19"/>
        <v>0</v>
      </c>
      <c r="BE140" s="130"/>
      <c r="BR140" s="129"/>
      <c r="BS140" s="19"/>
      <c r="BT140" s="19"/>
      <c r="BU140" s="19"/>
      <c r="BV140" s="19"/>
      <c r="BW140" s="19"/>
      <c r="BX140" s="19"/>
      <c r="BY140" s="19"/>
      <c r="BZ140" s="19"/>
      <c r="CA140" s="19"/>
      <c r="CB140" s="19"/>
      <c r="CC140" s="19"/>
      <c r="CD140" s="19"/>
      <c r="CE140" s="19"/>
      <c r="CF140" s="19"/>
      <c r="CG140" s="19"/>
      <c r="CH140" s="19"/>
      <c r="CI140" s="19"/>
      <c r="CJ140" s="19"/>
      <c r="CK140" s="19"/>
      <c r="CL140" s="19"/>
      <c r="CM140" s="19"/>
      <c r="CN140" s="19"/>
      <c r="CO140" s="19"/>
      <c r="CP140" s="19"/>
      <c r="CQ140" s="19"/>
      <c r="CR140" s="19"/>
      <c r="CS140" s="19"/>
      <c r="CT140" s="19"/>
      <c r="CU140" s="19"/>
      <c r="CV140" s="19"/>
      <c r="CW140" s="19"/>
      <c r="CX140" s="19"/>
      <c r="CY140" s="19"/>
      <c r="CZ140" s="19"/>
      <c r="DA140" s="19"/>
      <c r="DB140" s="19"/>
      <c r="DO140" s="1">
        <f t="shared" si="17"/>
        <v>0</v>
      </c>
      <c r="DP140" s="526"/>
    </row>
    <row r="141" spans="1:120" s="1" customFormat="1" ht="25.9" customHeight="1" x14ac:dyDescent="0.2">
      <c r="A141" s="6" t="s">
        <v>1115</v>
      </c>
      <c r="B141" s="33" t="s">
        <v>57</v>
      </c>
      <c r="C141" s="1" t="s">
        <v>1116</v>
      </c>
      <c r="D141" s="1" t="s">
        <v>1117</v>
      </c>
      <c r="E141" s="1" t="s">
        <v>752</v>
      </c>
      <c r="F141" s="33" t="s">
        <v>49</v>
      </c>
      <c r="G141" s="33" t="s">
        <v>536</v>
      </c>
      <c r="H141" s="1" t="s">
        <v>61</v>
      </c>
      <c r="I141" s="115">
        <v>42559</v>
      </c>
      <c r="J141" s="115">
        <v>42743</v>
      </c>
      <c r="K141" s="1">
        <v>2498807.1800000002</v>
      </c>
      <c r="L141" s="1">
        <v>2483759.3699999996</v>
      </c>
      <c r="M141" s="1">
        <f t="shared" si="14"/>
        <v>0</v>
      </c>
      <c r="P141" s="1">
        <f t="shared" si="18"/>
        <v>0</v>
      </c>
      <c r="S141" s="1">
        <f t="shared" si="16"/>
        <v>0</v>
      </c>
      <c r="U141" s="1">
        <v>15047.810000000522</v>
      </c>
      <c r="X141" s="1" t="s">
        <v>517</v>
      </c>
      <c r="Y141" s="1">
        <v>0</v>
      </c>
      <c r="Z141" s="1">
        <v>0</v>
      </c>
      <c r="AA141" s="1" t="s">
        <v>53</v>
      </c>
      <c r="AB141" s="1" t="s">
        <v>530</v>
      </c>
      <c r="AC141" s="1" t="s">
        <v>53</v>
      </c>
      <c r="AD141" s="1" t="s">
        <v>54</v>
      </c>
      <c r="AE141" s="1" t="s">
        <v>1118</v>
      </c>
      <c r="AR141" s="130">
        <f t="shared" si="19"/>
        <v>0</v>
      </c>
      <c r="BE141" s="130"/>
      <c r="BR141" s="129"/>
      <c r="BS141" s="19"/>
      <c r="BT141" s="19"/>
      <c r="BU141" s="19"/>
      <c r="BV141" s="19"/>
      <c r="BW141" s="19"/>
      <c r="BX141" s="19"/>
      <c r="BY141" s="19"/>
      <c r="BZ141" s="19"/>
      <c r="CA141" s="19"/>
      <c r="CB141" s="19"/>
      <c r="CC141" s="19"/>
      <c r="CD141" s="19"/>
      <c r="CE141" s="19"/>
      <c r="CF141" s="19"/>
      <c r="CG141" s="19"/>
      <c r="CH141" s="19"/>
      <c r="CI141" s="19"/>
      <c r="CJ141" s="19"/>
      <c r="CK141" s="19"/>
      <c r="CL141" s="19"/>
      <c r="CM141" s="19"/>
      <c r="CN141" s="19"/>
      <c r="CO141" s="19"/>
      <c r="CP141" s="19"/>
      <c r="CQ141" s="19"/>
      <c r="CR141" s="19"/>
      <c r="CS141" s="19"/>
      <c r="CT141" s="19"/>
      <c r="CU141" s="19"/>
      <c r="CV141" s="19"/>
      <c r="CW141" s="19"/>
      <c r="CX141" s="19"/>
      <c r="CY141" s="19"/>
      <c r="CZ141" s="19"/>
      <c r="DA141" s="19"/>
      <c r="DB141" s="19"/>
      <c r="DO141" s="1">
        <f t="shared" si="17"/>
        <v>0</v>
      </c>
      <c r="DP141" s="526"/>
    </row>
    <row r="142" spans="1:120" s="1" customFormat="1" ht="25.9" customHeight="1" x14ac:dyDescent="0.2">
      <c r="A142" s="6" t="s">
        <v>1119</v>
      </c>
      <c r="B142" s="33" t="s">
        <v>57</v>
      </c>
      <c r="C142" s="1" t="s">
        <v>1120</v>
      </c>
      <c r="D142" s="1" t="s">
        <v>1012</v>
      </c>
      <c r="E142" s="1" t="s">
        <v>214</v>
      </c>
      <c r="F142" s="33" t="s">
        <v>49</v>
      </c>
      <c r="G142" s="33" t="s">
        <v>536</v>
      </c>
      <c r="H142" s="1" t="s">
        <v>61</v>
      </c>
      <c r="I142" s="115">
        <v>42559</v>
      </c>
      <c r="J142" s="115">
        <v>42743</v>
      </c>
      <c r="K142" s="1">
        <v>3974571.81</v>
      </c>
      <c r="L142" s="1">
        <v>3965662.41</v>
      </c>
      <c r="M142" s="1">
        <f t="shared" si="14"/>
        <v>0</v>
      </c>
      <c r="P142" s="1">
        <f t="shared" si="18"/>
        <v>0</v>
      </c>
      <c r="S142" s="1">
        <f t="shared" si="16"/>
        <v>0</v>
      </c>
      <c r="U142" s="1">
        <v>8909.3999999999069</v>
      </c>
      <c r="X142" s="1" t="s">
        <v>517</v>
      </c>
      <c r="Y142" s="1" t="s">
        <v>53</v>
      </c>
      <c r="Z142" s="1">
        <v>0</v>
      </c>
      <c r="AA142" s="1" t="s">
        <v>53</v>
      </c>
      <c r="AB142" s="1" t="s">
        <v>530</v>
      </c>
      <c r="AC142" s="1" t="s">
        <v>53</v>
      </c>
      <c r="AD142" s="1" t="s">
        <v>54</v>
      </c>
      <c r="AE142" s="1" t="s">
        <v>1118</v>
      </c>
      <c r="AR142" s="130">
        <f t="shared" si="19"/>
        <v>0</v>
      </c>
      <c r="BE142" s="130"/>
      <c r="BR142" s="129"/>
      <c r="BS142" s="19"/>
      <c r="BT142" s="19"/>
      <c r="BU142" s="19"/>
      <c r="BV142" s="19"/>
      <c r="BW142" s="19"/>
      <c r="BX142" s="19"/>
      <c r="BY142" s="19"/>
      <c r="BZ142" s="19"/>
      <c r="CA142" s="19"/>
      <c r="CB142" s="19"/>
      <c r="CC142" s="19"/>
      <c r="CD142" s="19"/>
      <c r="CE142" s="19"/>
      <c r="CF142" s="19"/>
      <c r="CG142" s="19"/>
      <c r="CH142" s="19"/>
      <c r="CI142" s="19"/>
      <c r="CJ142" s="19"/>
      <c r="CK142" s="19"/>
      <c r="CL142" s="19"/>
      <c r="CM142" s="19"/>
      <c r="CN142" s="19"/>
      <c r="CO142" s="19"/>
      <c r="CP142" s="19"/>
      <c r="CQ142" s="19"/>
      <c r="CR142" s="19"/>
      <c r="CS142" s="19"/>
      <c r="CT142" s="19"/>
      <c r="CU142" s="19"/>
      <c r="CV142" s="19"/>
      <c r="CW142" s="19"/>
      <c r="CX142" s="19"/>
      <c r="CY142" s="19"/>
      <c r="CZ142" s="19"/>
      <c r="DA142" s="19"/>
      <c r="DB142" s="19"/>
      <c r="DO142" s="1">
        <f t="shared" si="17"/>
        <v>0</v>
      </c>
      <c r="DP142" s="526"/>
    </row>
    <row r="143" spans="1:120" s="1" customFormat="1" ht="25.9" customHeight="1" x14ac:dyDescent="0.2">
      <c r="A143" s="6" t="s">
        <v>1121</v>
      </c>
      <c r="B143" s="33" t="s">
        <v>57</v>
      </c>
      <c r="C143" s="1" t="s">
        <v>1122</v>
      </c>
      <c r="D143" s="1" t="s">
        <v>592</v>
      </c>
      <c r="E143" s="1" t="s">
        <v>986</v>
      </c>
      <c r="F143" s="33" t="s">
        <v>49</v>
      </c>
      <c r="G143" s="33" t="s">
        <v>315</v>
      </c>
      <c r="H143" s="1" t="s">
        <v>1123</v>
      </c>
      <c r="I143" s="115">
        <v>42576</v>
      </c>
      <c r="J143" s="115">
        <v>42941</v>
      </c>
      <c r="K143" s="1">
        <v>457500</v>
      </c>
      <c r="L143" s="1">
        <v>49105.26</v>
      </c>
      <c r="M143" s="1">
        <f t="shared" si="14"/>
        <v>0</v>
      </c>
      <c r="P143" s="1">
        <f t="shared" si="18"/>
        <v>0</v>
      </c>
      <c r="S143" s="1">
        <f t="shared" si="16"/>
        <v>0</v>
      </c>
      <c r="U143" s="1">
        <v>408394.74</v>
      </c>
      <c r="X143" s="1" t="s">
        <v>517</v>
      </c>
      <c r="Y143" s="1" t="s">
        <v>53</v>
      </c>
      <c r="Z143" s="1">
        <v>0</v>
      </c>
      <c r="AA143" s="1" t="s">
        <v>53</v>
      </c>
      <c r="AB143" s="1" t="s">
        <v>53</v>
      </c>
      <c r="AC143" s="1" t="s">
        <v>53</v>
      </c>
      <c r="AD143" s="1" t="s">
        <v>54</v>
      </c>
      <c r="AE143" s="1" t="s">
        <v>1058</v>
      </c>
      <c r="AR143" s="130">
        <f t="shared" si="19"/>
        <v>0</v>
      </c>
      <c r="BE143" s="130"/>
      <c r="BR143" s="129"/>
      <c r="BS143" s="19"/>
      <c r="BT143" s="19"/>
      <c r="BU143" s="19"/>
      <c r="BV143" s="19"/>
      <c r="BW143" s="19"/>
      <c r="BX143" s="19"/>
      <c r="BY143" s="19"/>
      <c r="BZ143" s="19"/>
      <c r="CA143" s="19"/>
      <c r="CB143" s="19"/>
      <c r="CC143" s="19"/>
      <c r="CD143" s="19"/>
      <c r="CE143" s="19"/>
      <c r="CF143" s="19"/>
      <c r="CG143" s="19"/>
      <c r="CH143" s="19"/>
      <c r="CI143" s="19"/>
      <c r="CJ143" s="19"/>
      <c r="CK143" s="19"/>
      <c r="CL143" s="19"/>
      <c r="CM143" s="19"/>
      <c r="CN143" s="19"/>
      <c r="CO143" s="19"/>
      <c r="CP143" s="19"/>
      <c r="CQ143" s="19"/>
      <c r="CR143" s="19"/>
      <c r="CS143" s="19"/>
      <c r="CT143" s="19"/>
      <c r="CU143" s="19"/>
      <c r="CV143" s="19"/>
      <c r="CW143" s="19"/>
      <c r="CX143" s="19"/>
      <c r="CY143" s="19"/>
      <c r="CZ143" s="19"/>
      <c r="DA143" s="19"/>
      <c r="DB143" s="19"/>
      <c r="DO143" s="1">
        <f t="shared" si="17"/>
        <v>0</v>
      </c>
      <c r="DP143" s="526"/>
    </row>
    <row r="144" spans="1:120" s="1" customFormat="1" ht="25.9" customHeight="1" x14ac:dyDescent="0.2">
      <c r="A144" s="6" t="s">
        <v>1124</v>
      </c>
      <c r="B144" s="33" t="s">
        <v>57</v>
      </c>
      <c r="C144" s="1" t="s">
        <v>1125</v>
      </c>
      <c r="D144" s="1" t="s">
        <v>942</v>
      </c>
      <c r="E144" s="1" t="s">
        <v>943</v>
      </c>
      <c r="F144" s="33" t="s">
        <v>49</v>
      </c>
      <c r="G144" s="33" t="s">
        <v>315</v>
      </c>
      <c r="H144" s="1" t="s">
        <v>61</v>
      </c>
      <c r="I144" s="115">
        <v>42559</v>
      </c>
      <c r="J144" s="115">
        <v>42742</v>
      </c>
      <c r="K144" s="1">
        <v>2526833.83</v>
      </c>
      <c r="L144" s="1">
        <v>2114258.98</v>
      </c>
      <c r="M144" s="1">
        <f t="shared" si="14"/>
        <v>0</v>
      </c>
      <c r="P144" s="1">
        <f t="shared" si="18"/>
        <v>0</v>
      </c>
      <c r="S144" s="1">
        <f t="shared" si="16"/>
        <v>0</v>
      </c>
      <c r="U144" s="1">
        <v>412574.85000000009</v>
      </c>
      <c r="X144" s="1" t="s">
        <v>517</v>
      </c>
      <c r="Y144" s="1" t="s">
        <v>53</v>
      </c>
      <c r="Z144" s="1">
        <v>0</v>
      </c>
      <c r="AA144" s="1" t="s">
        <v>53</v>
      </c>
      <c r="AB144" s="1" t="s">
        <v>530</v>
      </c>
      <c r="AC144" s="1" t="s">
        <v>53</v>
      </c>
      <c r="AD144" s="1" t="s">
        <v>54</v>
      </c>
      <c r="AE144" s="1" t="s">
        <v>1126</v>
      </c>
      <c r="AR144" s="130">
        <f t="shared" si="19"/>
        <v>0</v>
      </c>
      <c r="BE144" s="130"/>
      <c r="BR144" s="129"/>
      <c r="BS144" s="19"/>
      <c r="BT144" s="19"/>
      <c r="BU144" s="19"/>
      <c r="BV144" s="19"/>
      <c r="BW144" s="19"/>
      <c r="BX144" s="19"/>
      <c r="BY144" s="19"/>
      <c r="BZ144" s="19"/>
      <c r="CA144" s="19"/>
      <c r="CB144" s="19"/>
      <c r="CC144" s="19"/>
      <c r="CD144" s="19"/>
      <c r="CE144" s="19"/>
      <c r="CF144" s="19"/>
      <c r="CG144" s="19"/>
      <c r="CH144" s="19"/>
      <c r="CI144" s="19"/>
      <c r="CJ144" s="19"/>
      <c r="CK144" s="19"/>
      <c r="CL144" s="19"/>
      <c r="CM144" s="19"/>
      <c r="CN144" s="19"/>
      <c r="CO144" s="19"/>
      <c r="CP144" s="19"/>
      <c r="CQ144" s="19"/>
      <c r="CR144" s="19"/>
      <c r="CS144" s="19"/>
      <c r="CT144" s="19"/>
      <c r="CU144" s="19"/>
      <c r="CV144" s="19"/>
      <c r="CW144" s="19"/>
      <c r="CX144" s="19"/>
      <c r="CY144" s="19"/>
      <c r="CZ144" s="19"/>
      <c r="DA144" s="19"/>
      <c r="DB144" s="19"/>
      <c r="DO144" s="1">
        <f t="shared" si="17"/>
        <v>0</v>
      </c>
      <c r="DP144" s="526"/>
    </row>
    <row r="145" spans="1:120" s="1" customFormat="1" ht="25.9" customHeight="1" x14ac:dyDescent="0.2">
      <c r="A145" s="6" t="s">
        <v>1127</v>
      </c>
      <c r="B145" s="33" t="s">
        <v>107</v>
      </c>
      <c r="C145" s="1" t="s">
        <v>1128</v>
      </c>
      <c r="D145" s="57" t="s">
        <v>791</v>
      </c>
      <c r="E145" s="1" t="s">
        <v>1129</v>
      </c>
      <c r="F145" s="33" t="s">
        <v>49</v>
      </c>
      <c r="G145" s="33" t="s">
        <v>354</v>
      </c>
      <c r="H145" s="1" t="s">
        <v>793</v>
      </c>
      <c r="I145" s="115">
        <v>42804</v>
      </c>
      <c r="J145" s="115">
        <v>43900</v>
      </c>
      <c r="L145" s="1">
        <v>1029167.81</v>
      </c>
      <c r="M145" s="1">
        <f t="shared" si="14"/>
        <v>2291439.7799999998</v>
      </c>
      <c r="P145" s="1">
        <f t="shared" si="18"/>
        <v>0</v>
      </c>
      <c r="S145" s="1">
        <f t="shared" si="16"/>
        <v>0</v>
      </c>
      <c r="U145" s="1">
        <v>0</v>
      </c>
      <c r="X145" s="1" t="s">
        <v>52</v>
      </c>
      <c r="Y145" s="1" t="s">
        <v>53</v>
      </c>
      <c r="Z145" s="1">
        <v>0</v>
      </c>
      <c r="AA145" s="1" t="s">
        <v>53</v>
      </c>
      <c r="AB145" s="1" t="s">
        <v>53</v>
      </c>
      <c r="AC145" s="1" t="s">
        <v>53</v>
      </c>
      <c r="AD145" s="1" t="s">
        <v>54</v>
      </c>
      <c r="AE145" s="1" t="s">
        <v>1130</v>
      </c>
      <c r="AF145" s="1">
        <f>7425+95978</f>
        <v>103403</v>
      </c>
      <c r="AG145" s="1">
        <f>1431+1584+3168+4521+5412+7920+10782+13200+9222+27580+3168+71760+83160+100380+10823</f>
        <v>354111</v>
      </c>
      <c r="AH145" s="1">
        <f>1300.9+1353+1353+1431+1510+1540+1581+1870+2850+4290+5040+5412+11968+19008+27720+92232</f>
        <v>180458.9</v>
      </c>
      <c r="AI145" s="1">
        <f>6336+1309+6336+20295+41613+1236+1353+1425+1425+1431+1755+2706+2783+2899+3168+4136+4293+4521+5412+6336+7647+7700+10956+19008+39358+76590</f>
        <v>282027</v>
      </c>
      <c r="AJ145" s="1">
        <f>26390+1518+1430+1518+3806+3950+4752+6776+8990+9870+25505+27728+76515</f>
        <v>198748</v>
      </c>
      <c r="AK145" s="1">
        <f>9504+1045+1353+1584+2706+2848+4620+6336+6336+8118+9504+3078+6825</f>
        <v>63857</v>
      </c>
      <c r="AL145" s="1">
        <f>3080+3136+4653+10560+26928+77010</f>
        <v>125367</v>
      </c>
      <c r="AM145" s="1">
        <f>1584+1584+1645+2706+3168+6336+6765+8225+12672+15840+45000+87876+201142.5</f>
        <v>394543.5</v>
      </c>
      <c r="AN145" s="1">
        <f>1199+1353+1425+1584+2706+3080+4059+8118+8580+9042+11400+13992+15840+20361+30134.88+42768+67047.5+128304</f>
        <v>370993.38</v>
      </c>
      <c r="AO145" s="1">
        <v>0</v>
      </c>
      <c r="AP145" s="1">
        <v>0</v>
      </c>
      <c r="AQ145" s="1">
        <f>12056+205875</f>
        <v>217931</v>
      </c>
      <c r="AR145" s="130">
        <f t="shared" si="19"/>
        <v>2291439.7799999998</v>
      </c>
      <c r="BE145" s="130"/>
      <c r="BR145" s="129"/>
      <c r="BS145" s="19"/>
      <c r="BT145" s="19"/>
      <c r="BU145" s="19"/>
      <c r="BV145" s="19"/>
      <c r="BW145" s="19"/>
      <c r="BX145" s="19"/>
      <c r="BY145" s="19"/>
      <c r="BZ145" s="19"/>
      <c r="CA145" s="19"/>
      <c r="CB145" s="19"/>
      <c r="CC145" s="19"/>
      <c r="CD145" s="19"/>
      <c r="CE145" s="19"/>
      <c r="CF145" s="19"/>
      <c r="CG145" s="19"/>
      <c r="CH145" s="19"/>
      <c r="CI145" s="19"/>
      <c r="CJ145" s="19"/>
      <c r="CK145" s="19"/>
      <c r="CL145" s="19"/>
      <c r="CM145" s="19"/>
      <c r="CN145" s="19"/>
      <c r="CO145" s="19"/>
      <c r="CP145" s="19"/>
      <c r="CQ145" s="19"/>
      <c r="CR145" s="19"/>
      <c r="CS145" s="19"/>
      <c r="CT145" s="19"/>
      <c r="CU145" s="19"/>
      <c r="CV145" s="19"/>
      <c r="CW145" s="19"/>
      <c r="CX145" s="19"/>
      <c r="CY145" s="19"/>
      <c r="CZ145" s="19"/>
      <c r="DA145" s="19"/>
      <c r="DB145" s="19"/>
      <c r="DO145" s="1">
        <f t="shared" si="17"/>
        <v>0</v>
      </c>
      <c r="DP145" s="526"/>
    </row>
    <row r="146" spans="1:120" s="1" customFormat="1" ht="25.9" customHeight="1" x14ac:dyDescent="0.2">
      <c r="A146" s="6" t="s">
        <v>1131</v>
      </c>
      <c r="B146" s="33" t="s">
        <v>45</v>
      </c>
      <c r="C146" s="1" t="s">
        <v>913</v>
      </c>
      <c r="D146" s="1" t="s">
        <v>1132</v>
      </c>
      <c r="E146" s="1" t="s">
        <v>1133</v>
      </c>
      <c r="F146" s="33" t="s">
        <v>49</v>
      </c>
      <c r="G146" s="33" t="s">
        <v>1134</v>
      </c>
      <c r="H146" s="1" t="s">
        <v>916</v>
      </c>
      <c r="I146" s="115">
        <v>42804</v>
      </c>
      <c r="J146" s="115">
        <v>42896</v>
      </c>
      <c r="K146" s="1">
        <v>271320</v>
      </c>
      <c r="L146" s="1">
        <v>271320</v>
      </c>
      <c r="M146" s="1">
        <f t="shared" si="14"/>
        <v>0</v>
      </c>
      <c r="P146" s="1">
        <f t="shared" si="18"/>
        <v>0</v>
      </c>
      <c r="S146" s="1">
        <f t="shared" si="16"/>
        <v>0</v>
      </c>
      <c r="U146" s="1">
        <v>0</v>
      </c>
      <c r="X146" s="1" t="s">
        <v>517</v>
      </c>
      <c r="Y146" s="1" t="s">
        <v>53</v>
      </c>
      <c r="Z146" s="1">
        <v>0</v>
      </c>
      <c r="AA146" s="1" t="s">
        <v>53</v>
      </c>
      <c r="AB146" s="1" t="s">
        <v>53</v>
      </c>
      <c r="AC146" s="1" t="s">
        <v>53</v>
      </c>
      <c r="AD146" s="1" t="s">
        <v>54</v>
      </c>
      <c r="AE146" s="1" t="s">
        <v>1135</v>
      </c>
      <c r="AR146" s="130">
        <f t="shared" si="19"/>
        <v>0</v>
      </c>
      <c r="BE146" s="130"/>
      <c r="BR146" s="129"/>
      <c r="BS146" s="19"/>
      <c r="BT146" s="19"/>
      <c r="BU146" s="19"/>
      <c r="BV146" s="19"/>
      <c r="BW146" s="19"/>
      <c r="BX146" s="19"/>
      <c r="BY146" s="19"/>
      <c r="BZ146" s="19"/>
      <c r="CA146" s="19"/>
      <c r="CB146" s="19"/>
      <c r="CC146" s="19"/>
      <c r="CD146" s="19"/>
      <c r="CE146" s="19"/>
      <c r="CF146" s="19"/>
      <c r="CG146" s="19"/>
      <c r="CH146" s="19"/>
      <c r="CI146" s="19"/>
      <c r="CJ146" s="19"/>
      <c r="CK146" s="19"/>
      <c r="CL146" s="19"/>
      <c r="CM146" s="19"/>
      <c r="CN146" s="19"/>
      <c r="CO146" s="19"/>
      <c r="CP146" s="19"/>
      <c r="CQ146" s="19"/>
      <c r="CR146" s="19"/>
      <c r="CS146" s="19"/>
      <c r="CT146" s="19"/>
      <c r="CU146" s="19"/>
      <c r="CV146" s="19"/>
      <c r="CW146" s="19"/>
      <c r="CX146" s="19"/>
      <c r="CY146" s="19"/>
      <c r="CZ146" s="19"/>
      <c r="DA146" s="19"/>
      <c r="DB146" s="19"/>
      <c r="DO146" s="1">
        <f t="shared" si="17"/>
        <v>0</v>
      </c>
      <c r="DP146" s="526"/>
    </row>
    <row r="147" spans="1:120" s="1" customFormat="1" ht="25.9" customHeight="1" x14ac:dyDescent="0.2">
      <c r="A147" s="6" t="s">
        <v>1136</v>
      </c>
      <c r="B147" s="33" t="s">
        <v>45</v>
      </c>
      <c r="C147" s="1" t="s">
        <v>1137</v>
      </c>
      <c r="D147" s="1" t="s">
        <v>1138</v>
      </c>
      <c r="E147" s="1" t="s">
        <v>1139</v>
      </c>
      <c r="F147" s="33" t="s">
        <v>49</v>
      </c>
      <c r="G147" s="33" t="s">
        <v>344</v>
      </c>
      <c r="H147" s="1" t="s">
        <v>344</v>
      </c>
      <c r="I147" s="115" t="s">
        <v>1140</v>
      </c>
      <c r="J147" s="115">
        <v>43488</v>
      </c>
      <c r="K147" s="1">
        <v>0</v>
      </c>
      <c r="L147" s="1">
        <v>51500</v>
      </c>
      <c r="M147" s="1">
        <f t="shared" si="14"/>
        <v>0</v>
      </c>
      <c r="P147" s="1">
        <f t="shared" si="18"/>
        <v>0</v>
      </c>
      <c r="S147" s="1">
        <f t="shared" si="16"/>
        <v>0</v>
      </c>
      <c r="U147" s="1">
        <v>-51500</v>
      </c>
      <c r="X147" s="1" t="s">
        <v>52</v>
      </c>
      <c r="Y147" s="1" t="s">
        <v>53</v>
      </c>
      <c r="Z147" s="1" t="s">
        <v>53</v>
      </c>
      <c r="AA147" s="1" t="s">
        <v>53</v>
      </c>
      <c r="AB147" s="1" t="s">
        <v>53</v>
      </c>
      <c r="AC147" s="1" t="s">
        <v>53</v>
      </c>
      <c r="AD147" s="1" t="s">
        <v>54</v>
      </c>
      <c r="AE147" s="1" t="s">
        <v>1141</v>
      </c>
      <c r="AR147" s="130">
        <f t="shared" si="19"/>
        <v>0</v>
      </c>
      <c r="BE147" s="130"/>
      <c r="BR147" s="129"/>
      <c r="BS147" s="19"/>
      <c r="BT147" s="19"/>
      <c r="BU147" s="19"/>
      <c r="BV147" s="19"/>
      <c r="BW147" s="19"/>
      <c r="BX147" s="19"/>
      <c r="BY147" s="19"/>
      <c r="BZ147" s="19"/>
      <c r="CA147" s="19"/>
      <c r="CB147" s="19"/>
      <c r="CC147" s="19"/>
      <c r="CD147" s="19"/>
      <c r="CE147" s="19"/>
      <c r="CF147" s="19"/>
      <c r="CG147" s="19"/>
      <c r="CH147" s="19"/>
      <c r="CI147" s="19"/>
      <c r="CJ147" s="19"/>
      <c r="CK147" s="19"/>
      <c r="CL147" s="19"/>
      <c r="CM147" s="19"/>
      <c r="CN147" s="19"/>
      <c r="CO147" s="19"/>
      <c r="CP147" s="19"/>
      <c r="CQ147" s="19"/>
      <c r="CR147" s="19"/>
      <c r="CS147" s="19"/>
      <c r="CT147" s="19"/>
      <c r="CU147" s="19"/>
      <c r="CV147" s="19"/>
      <c r="CW147" s="19"/>
      <c r="CX147" s="19"/>
      <c r="CY147" s="19"/>
      <c r="CZ147" s="19"/>
      <c r="DA147" s="19"/>
      <c r="DB147" s="19"/>
      <c r="DO147" s="1">
        <f t="shared" si="17"/>
        <v>0</v>
      </c>
      <c r="DP147" s="526"/>
    </row>
    <row r="148" spans="1:120" s="1" customFormat="1" ht="25.9" customHeight="1" x14ac:dyDescent="0.2">
      <c r="A148" s="6" t="s">
        <v>1142</v>
      </c>
      <c r="B148" s="33" t="s">
        <v>107</v>
      </c>
      <c r="C148" s="1" t="s">
        <v>1143</v>
      </c>
      <c r="D148" s="1" t="s">
        <v>1144</v>
      </c>
      <c r="E148" s="1" t="s">
        <v>1145</v>
      </c>
      <c r="F148" s="33" t="s">
        <v>49</v>
      </c>
      <c r="G148" s="33" t="s">
        <v>328</v>
      </c>
      <c r="H148" s="1" t="s">
        <v>344</v>
      </c>
      <c r="I148" s="115">
        <v>41797</v>
      </c>
      <c r="J148" s="115">
        <v>42893</v>
      </c>
      <c r="L148" s="1">
        <v>297769.34000000003</v>
      </c>
      <c r="M148" s="1">
        <f t="shared" si="14"/>
        <v>0</v>
      </c>
      <c r="P148" s="1">
        <f t="shared" si="18"/>
        <v>0</v>
      </c>
      <c r="S148" s="1">
        <f t="shared" si="16"/>
        <v>0</v>
      </c>
      <c r="X148" s="1" t="s">
        <v>52</v>
      </c>
      <c r="Y148" s="1" t="s">
        <v>53</v>
      </c>
      <c r="Z148" s="1" t="s">
        <v>53</v>
      </c>
      <c r="AA148" s="1" t="s">
        <v>53</v>
      </c>
      <c r="AB148" s="1" t="s">
        <v>53</v>
      </c>
      <c r="AC148" s="1" t="s">
        <v>53</v>
      </c>
      <c r="AD148" s="1" t="s">
        <v>54</v>
      </c>
      <c r="AE148" s="1" t="s">
        <v>1146</v>
      </c>
      <c r="AR148" s="130">
        <f t="shared" si="19"/>
        <v>0</v>
      </c>
      <c r="BE148" s="130"/>
      <c r="BR148" s="129"/>
      <c r="BS148" s="19"/>
      <c r="BT148" s="19"/>
      <c r="BU148" s="19"/>
      <c r="BV148" s="19"/>
      <c r="BW148" s="19"/>
      <c r="BX148" s="19"/>
      <c r="BY148" s="19"/>
      <c r="BZ148" s="19"/>
      <c r="CA148" s="19"/>
      <c r="CB148" s="19"/>
      <c r="CC148" s="19"/>
      <c r="CD148" s="19"/>
      <c r="CE148" s="19"/>
      <c r="CF148" s="19"/>
      <c r="CG148" s="19"/>
      <c r="CH148" s="19"/>
      <c r="CI148" s="19"/>
      <c r="CJ148" s="19"/>
      <c r="CK148" s="19"/>
      <c r="CL148" s="19"/>
      <c r="CM148" s="19"/>
      <c r="CN148" s="19"/>
      <c r="CO148" s="19"/>
      <c r="CP148" s="19"/>
      <c r="CQ148" s="19"/>
      <c r="CR148" s="19"/>
      <c r="CS148" s="19"/>
      <c r="CT148" s="19"/>
      <c r="CU148" s="19"/>
      <c r="CV148" s="19"/>
      <c r="CW148" s="19"/>
      <c r="CX148" s="19"/>
      <c r="CY148" s="19"/>
      <c r="CZ148" s="19"/>
      <c r="DA148" s="19"/>
      <c r="DB148" s="19"/>
      <c r="DO148" s="1">
        <f t="shared" si="17"/>
        <v>0</v>
      </c>
      <c r="DP148" s="526"/>
    </row>
    <row r="149" spans="1:120" s="1" customFormat="1" ht="25.9" customHeight="1" x14ac:dyDescent="0.2">
      <c r="A149" s="6" t="s">
        <v>1147</v>
      </c>
      <c r="B149" s="33" t="s">
        <v>107</v>
      </c>
      <c r="C149" s="1" t="s">
        <v>1148</v>
      </c>
      <c r="D149" s="65" t="s">
        <v>1149</v>
      </c>
      <c r="E149" s="1" t="s">
        <v>1150</v>
      </c>
      <c r="F149" s="33" t="s">
        <v>49</v>
      </c>
      <c r="G149" s="33" t="s">
        <v>328</v>
      </c>
      <c r="H149" s="1" t="s">
        <v>344</v>
      </c>
      <c r="I149" s="115">
        <v>41960</v>
      </c>
      <c r="J149" s="115">
        <v>43056</v>
      </c>
      <c r="L149" s="1">
        <v>153328.99853300003</v>
      </c>
      <c r="M149" s="1">
        <f t="shared" si="14"/>
        <v>1821.26</v>
      </c>
      <c r="P149" s="1">
        <f t="shared" si="18"/>
        <v>0</v>
      </c>
      <c r="S149" s="1">
        <f t="shared" si="16"/>
        <v>0</v>
      </c>
      <c r="X149" s="1" t="s">
        <v>52</v>
      </c>
      <c r="Y149" s="1">
        <v>12</v>
      </c>
      <c r="Z149" s="1" t="s">
        <v>53</v>
      </c>
      <c r="AA149" s="1" t="s">
        <v>53</v>
      </c>
      <c r="AB149" s="1" t="s">
        <v>53</v>
      </c>
      <c r="AC149" s="1" t="s">
        <v>53</v>
      </c>
      <c r="AD149" s="1" t="s">
        <v>54</v>
      </c>
      <c r="AE149" s="1" t="s">
        <v>1151</v>
      </c>
      <c r="AF149" s="1">
        <v>1821.26</v>
      </c>
      <c r="AR149" s="130">
        <f t="shared" si="19"/>
        <v>1821.26</v>
      </c>
      <c r="BE149" s="130"/>
      <c r="BR149" s="129"/>
      <c r="BS149" s="19"/>
      <c r="BT149" s="19"/>
      <c r="BU149" s="19"/>
      <c r="BV149" s="19"/>
      <c r="BW149" s="19"/>
      <c r="BX149" s="19"/>
      <c r="BY149" s="19"/>
      <c r="BZ149" s="19"/>
      <c r="CA149" s="19"/>
      <c r="CB149" s="19"/>
      <c r="CC149" s="19"/>
      <c r="CD149" s="19"/>
      <c r="CE149" s="19"/>
      <c r="CF149" s="19"/>
      <c r="CG149" s="19"/>
      <c r="CH149" s="19"/>
      <c r="CI149" s="19"/>
      <c r="CJ149" s="19"/>
      <c r="CK149" s="19"/>
      <c r="CL149" s="19"/>
      <c r="CM149" s="19"/>
      <c r="CN149" s="19"/>
      <c r="CO149" s="19"/>
      <c r="CP149" s="19"/>
      <c r="CQ149" s="19"/>
      <c r="CR149" s="19"/>
      <c r="CS149" s="19"/>
      <c r="CT149" s="19"/>
      <c r="CU149" s="19"/>
      <c r="CV149" s="19"/>
      <c r="CW149" s="19"/>
      <c r="CX149" s="19"/>
      <c r="CY149" s="19"/>
      <c r="CZ149" s="19"/>
      <c r="DA149" s="19"/>
      <c r="DB149" s="19"/>
      <c r="DO149" s="1">
        <f t="shared" si="17"/>
        <v>0</v>
      </c>
      <c r="DP149" s="526"/>
    </row>
    <row r="150" spans="1:120" s="1" customFormat="1" ht="25.9" customHeight="1" x14ac:dyDescent="0.2">
      <c r="A150" s="6" t="s">
        <v>1152</v>
      </c>
      <c r="B150" s="33" t="s">
        <v>107</v>
      </c>
      <c r="C150" s="1" t="s">
        <v>1153</v>
      </c>
      <c r="D150" s="1" t="s">
        <v>1154</v>
      </c>
      <c r="E150" s="1" t="s">
        <v>1155</v>
      </c>
      <c r="F150" s="33" t="s">
        <v>49</v>
      </c>
      <c r="G150" s="33" t="s">
        <v>328</v>
      </c>
      <c r="H150" s="1" t="s">
        <v>61</v>
      </c>
      <c r="I150" s="115">
        <v>42865</v>
      </c>
      <c r="J150" s="115">
        <v>42988</v>
      </c>
      <c r="K150" s="1">
        <v>680000</v>
      </c>
      <c r="M150" s="1">
        <f t="shared" ref="M150:M181" si="20">AR150</f>
        <v>0</v>
      </c>
      <c r="P150" s="1">
        <f t="shared" si="18"/>
        <v>0</v>
      </c>
      <c r="S150" s="1">
        <f t="shared" ref="S150:S181" si="21">BR150</f>
        <v>0</v>
      </c>
      <c r="U150" s="1">
        <v>680000</v>
      </c>
      <c r="X150" s="1" t="s">
        <v>52</v>
      </c>
      <c r="Y150" s="1" t="s">
        <v>53</v>
      </c>
      <c r="Z150" s="1" t="s">
        <v>53</v>
      </c>
      <c r="AA150" s="1" t="s">
        <v>53</v>
      </c>
      <c r="AB150" s="1" t="s">
        <v>53</v>
      </c>
      <c r="AC150" s="1" t="s">
        <v>53</v>
      </c>
      <c r="AD150" s="1" t="s">
        <v>54</v>
      </c>
      <c r="AE150" s="1" t="s">
        <v>70</v>
      </c>
      <c r="AR150" s="130">
        <f t="shared" si="19"/>
        <v>0</v>
      </c>
      <c r="BE150" s="130"/>
      <c r="BR150" s="129"/>
      <c r="BS150" s="19"/>
      <c r="BT150" s="19"/>
      <c r="BU150" s="19"/>
      <c r="BV150" s="19"/>
      <c r="BW150" s="19"/>
      <c r="BX150" s="19"/>
      <c r="BY150" s="19"/>
      <c r="BZ150" s="19"/>
      <c r="CA150" s="19"/>
      <c r="CB150" s="19"/>
      <c r="CC150" s="19"/>
      <c r="CD150" s="19"/>
      <c r="CE150" s="19"/>
      <c r="CF150" s="19"/>
      <c r="CG150" s="19"/>
      <c r="CH150" s="19"/>
      <c r="CI150" s="19"/>
      <c r="CJ150" s="19"/>
      <c r="CK150" s="19"/>
      <c r="CL150" s="19"/>
      <c r="CM150" s="19"/>
      <c r="CN150" s="19"/>
      <c r="CO150" s="19"/>
      <c r="CP150" s="19"/>
      <c r="CQ150" s="19"/>
      <c r="CR150" s="19"/>
      <c r="CS150" s="19"/>
      <c r="CT150" s="19"/>
      <c r="CU150" s="19"/>
      <c r="CV150" s="19"/>
      <c r="CW150" s="19"/>
      <c r="CX150" s="19"/>
      <c r="CY150" s="19"/>
      <c r="CZ150" s="19"/>
      <c r="DA150" s="19"/>
      <c r="DB150" s="19"/>
      <c r="DO150" s="1">
        <f t="shared" si="17"/>
        <v>0</v>
      </c>
      <c r="DP150" s="526"/>
    </row>
    <row r="151" spans="1:120" s="1" customFormat="1" ht="25.9" customHeight="1" x14ac:dyDescent="0.2">
      <c r="A151" s="6" t="s">
        <v>1156</v>
      </c>
      <c r="B151" s="33" t="s">
        <v>107</v>
      </c>
      <c r="C151" s="1" t="s">
        <v>1157</v>
      </c>
      <c r="D151" s="65" t="s">
        <v>1158</v>
      </c>
      <c r="E151" s="1" t="s">
        <v>1159</v>
      </c>
      <c r="F151" s="33" t="s">
        <v>49</v>
      </c>
      <c r="G151" s="33" t="s">
        <v>328</v>
      </c>
      <c r="H151" s="1" t="s">
        <v>344</v>
      </c>
      <c r="I151" s="115">
        <v>42865</v>
      </c>
      <c r="J151" s="115">
        <v>43595</v>
      </c>
      <c r="K151" s="1" t="s">
        <v>1160</v>
      </c>
      <c r="L151" s="1">
        <v>3125720.0300000003</v>
      </c>
      <c r="M151" s="1">
        <f t="shared" si="20"/>
        <v>391900.45</v>
      </c>
      <c r="P151" s="1">
        <f t="shared" si="18"/>
        <v>0</v>
      </c>
      <c r="S151" s="1">
        <f t="shared" si="21"/>
        <v>0</v>
      </c>
      <c r="X151" s="1" t="s">
        <v>517</v>
      </c>
      <c r="Y151" s="1" t="s">
        <v>53</v>
      </c>
      <c r="Z151" s="1" t="s">
        <v>53</v>
      </c>
      <c r="AA151" s="1" t="s">
        <v>53</v>
      </c>
      <c r="AB151" s="1" t="s">
        <v>53</v>
      </c>
      <c r="AC151" s="1" t="s">
        <v>53</v>
      </c>
      <c r="AD151" s="1" t="s">
        <v>54</v>
      </c>
      <c r="AE151" s="1" t="s">
        <v>70</v>
      </c>
      <c r="AP151" s="1">
        <v>196420</v>
      </c>
      <c r="AQ151" s="1">
        <v>195480.45</v>
      </c>
      <c r="AR151" s="130">
        <f t="shared" si="19"/>
        <v>391900.45</v>
      </c>
      <c r="BE151" s="130"/>
      <c r="BR151" s="129"/>
      <c r="BS151" s="19"/>
      <c r="BT151" s="19"/>
      <c r="BU151" s="19"/>
      <c r="BV151" s="19"/>
      <c r="BW151" s="19"/>
      <c r="BX151" s="19"/>
      <c r="BY151" s="19"/>
      <c r="BZ151" s="19"/>
      <c r="CA151" s="19"/>
      <c r="CB151" s="19"/>
      <c r="CC151" s="19"/>
      <c r="CD151" s="19"/>
      <c r="CE151" s="19"/>
      <c r="CF151" s="19"/>
      <c r="CG151" s="19"/>
      <c r="CH151" s="19"/>
      <c r="CI151" s="19"/>
      <c r="CJ151" s="19"/>
      <c r="CK151" s="19"/>
      <c r="CL151" s="19"/>
      <c r="CM151" s="19"/>
      <c r="CN151" s="19"/>
      <c r="CO151" s="19"/>
      <c r="CP151" s="19"/>
      <c r="CQ151" s="19"/>
      <c r="CR151" s="19"/>
      <c r="CS151" s="19"/>
      <c r="CT151" s="19"/>
      <c r="CU151" s="19"/>
      <c r="CV151" s="19"/>
      <c r="CW151" s="19"/>
      <c r="CX151" s="19"/>
      <c r="CY151" s="19"/>
      <c r="CZ151" s="19"/>
      <c r="DA151" s="19"/>
      <c r="DB151" s="19"/>
      <c r="DO151" s="1">
        <f t="shared" si="17"/>
        <v>0</v>
      </c>
      <c r="DP151" s="526"/>
    </row>
    <row r="152" spans="1:120" s="1" customFormat="1" ht="25.9" customHeight="1" x14ac:dyDescent="0.2">
      <c r="A152" s="6" t="s">
        <v>1161</v>
      </c>
      <c r="B152" s="33" t="s">
        <v>107</v>
      </c>
      <c r="C152" s="1" t="s">
        <v>1162</v>
      </c>
      <c r="D152" s="1" t="s">
        <v>1163</v>
      </c>
      <c r="E152" s="1" t="s">
        <v>1164</v>
      </c>
      <c r="F152" s="33" t="s">
        <v>49</v>
      </c>
      <c r="G152" s="33" t="s">
        <v>328</v>
      </c>
      <c r="H152" s="1" t="s">
        <v>51</v>
      </c>
      <c r="I152" s="115">
        <v>42937</v>
      </c>
      <c r="J152" s="115">
        <v>44032</v>
      </c>
      <c r="K152" s="1">
        <v>493499.86</v>
      </c>
      <c r="L152" s="1">
        <v>549634.37999999989</v>
      </c>
      <c r="M152" s="1">
        <f t="shared" si="20"/>
        <v>31252.159999999996</v>
      </c>
      <c r="P152" s="1">
        <f t="shared" si="18"/>
        <v>0</v>
      </c>
      <c r="S152" s="1">
        <f t="shared" si="21"/>
        <v>0</v>
      </c>
      <c r="U152" s="1">
        <v>-56134.519999999902</v>
      </c>
      <c r="X152" s="1" t="s">
        <v>517</v>
      </c>
      <c r="Y152" s="1" t="s">
        <v>53</v>
      </c>
      <c r="Z152" s="1">
        <v>0</v>
      </c>
      <c r="AA152" s="1" t="s">
        <v>53</v>
      </c>
      <c r="AB152" s="1" t="s">
        <v>53</v>
      </c>
      <c r="AC152" s="1" t="s">
        <v>53</v>
      </c>
      <c r="AD152" s="1" t="s">
        <v>54</v>
      </c>
      <c r="AE152" s="1" t="s">
        <v>1165</v>
      </c>
      <c r="AQ152" s="1">
        <f>1731.57+633.77+472.21+1836.25+307.57+470.03+302.84+323.39+434.92+370.33+309.36+1826.15+1818.47+3131.57+3330.79+2223.12+6461.84+5267.98</f>
        <v>31252.159999999996</v>
      </c>
      <c r="AR152" s="130">
        <f t="shared" si="19"/>
        <v>31252.159999999996</v>
      </c>
      <c r="BE152" s="130"/>
      <c r="BR152" s="129"/>
      <c r="BS152" s="19"/>
      <c r="BT152" s="19"/>
      <c r="BU152" s="19"/>
      <c r="BV152" s="19"/>
      <c r="BW152" s="19"/>
      <c r="BX152" s="19"/>
      <c r="BY152" s="19"/>
      <c r="BZ152" s="19"/>
      <c r="CA152" s="19"/>
      <c r="CB152" s="19"/>
      <c r="CC152" s="19"/>
      <c r="CD152" s="19"/>
      <c r="CE152" s="19"/>
      <c r="CF152" s="19"/>
      <c r="CG152" s="19"/>
      <c r="CH152" s="19"/>
      <c r="CI152" s="19"/>
      <c r="CJ152" s="19"/>
      <c r="CK152" s="19"/>
      <c r="CL152" s="19"/>
      <c r="CM152" s="19"/>
      <c r="CN152" s="19"/>
      <c r="CO152" s="19"/>
      <c r="CP152" s="19"/>
      <c r="CQ152" s="19"/>
      <c r="CR152" s="19"/>
      <c r="CS152" s="19"/>
      <c r="CT152" s="19"/>
      <c r="CU152" s="19"/>
      <c r="CV152" s="19"/>
      <c r="CW152" s="19"/>
      <c r="CX152" s="19"/>
      <c r="CY152" s="19"/>
      <c r="CZ152" s="19"/>
      <c r="DA152" s="19"/>
      <c r="DB152" s="19"/>
      <c r="DO152" s="1">
        <f t="shared" si="17"/>
        <v>0</v>
      </c>
      <c r="DP152" s="526"/>
    </row>
    <row r="153" spans="1:120" s="1" customFormat="1" ht="25.9" customHeight="1" x14ac:dyDescent="0.2">
      <c r="A153" s="6" t="s">
        <v>1166</v>
      </c>
      <c r="B153" s="33" t="s">
        <v>107</v>
      </c>
      <c r="C153" s="1" t="s">
        <v>1167</v>
      </c>
      <c r="D153" s="1" t="s">
        <v>1168</v>
      </c>
      <c r="E153" s="1" t="s">
        <v>1169</v>
      </c>
      <c r="F153" s="33" t="s">
        <v>49</v>
      </c>
      <c r="G153" s="33" t="s">
        <v>328</v>
      </c>
      <c r="H153" s="1" t="s">
        <v>389</v>
      </c>
      <c r="I153" s="115">
        <v>41379</v>
      </c>
      <c r="J153" s="115">
        <v>42474</v>
      </c>
      <c r="L153" s="1">
        <v>102730.26999999997</v>
      </c>
      <c r="M153" s="1">
        <f t="shared" si="20"/>
        <v>0</v>
      </c>
      <c r="P153" s="1">
        <f t="shared" si="18"/>
        <v>0</v>
      </c>
      <c r="S153" s="1">
        <f t="shared" si="21"/>
        <v>0</v>
      </c>
      <c r="X153" s="1" t="s">
        <v>517</v>
      </c>
      <c r="Y153" s="1" t="s">
        <v>53</v>
      </c>
      <c r="Z153" s="1">
        <v>0</v>
      </c>
      <c r="AA153" s="1" t="s">
        <v>53</v>
      </c>
      <c r="AB153" s="1" t="s">
        <v>53</v>
      </c>
      <c r="AC153" s="1" t="s">
        <v>53</v>
      </c>
      <c r="AD153" s="1" t="s">
        <v>54</v>
      </c>
      <c r="AE153" s="1" t="s">
        <v>1170</v>
      </c>
      <c r="AR153" s="130">
        <f t="shared" si="19"/>
        <v>0</v>
      </c>
      <c r="BE153" s="130"/>
      <c r="BR153" s="129"/>
      <c r="BS153" s="19"/>
      <c r="BT153" s="19"/>
      <c r="BU153" s="19"/>
      <c r="BV153" s="19"/>
      <c r="BW153" s="19"/>
      <c r="BX153" s="19"/>
      <c r="BY153" s="19"/>
      <c r="BZ153" s="19"/>
      <c r="CA153" s="19"/>
      <c r="CB153" s="19"/>
      <c r="CC153" s="19"/>
      <c r="CD153" s="19"/>
      <c r="CE153" s="19"/>
      <c r="CF153" s="19"/>
      <c r="CG153" s="19"/>
      <c r="CH153" s="19"/>
      <c r="CI153" s="19"/>
      <c r="CJ153" s="19"/>
      <c r="CK153" s="19"/>
      <c r="CL153" s="19"/>
      <c r="CM153" s="19"/>
      <c r="CN153" s="19"/>
      <c r="CO153" s="19"/>
      <c r="CP153" s="19"/>
      <c r="CQ153" s="19"/>
      <c r="CR153" s="19"/>
      <c r="CS153" s="19"/>
      <c r="CT153" s="19"/>
      <c r="CU153" s="19"/>
      <c r="CV153" s="19"/>
      <c r="CW153" s="19"/>
      <c r="CX153" s="19"/>
      <c r="CY153" s="19"/>
      <c r="CZ153" s="19"/>
      <c r="DA153" s="19"/>
      <c r="DB153" s="19"/>
      <c r="DO153" s="1">
        <f t="shared" si="17"/>
        <v>0</v>
      </c>
      <c r="DP153" s="526"/>
    </row>
    <row r="154" spans="1:120" s="1" customFormat="1" ht="25.9" customHeight="1" x14ac:dyDescent="0.2">
      <c r="A154" s="6" t="s">
        <v>1136</v>
      </c>
      <c r="B154" s="33" t="s">
        <v>45</v>
      </c>
      <c r="C154" s="1" t="s">
        <v>1171</v>
      </c>
      <c r="D154" s="1" t="s">
        <v>1138</v>
      </c>
      <c r="E154" s="1" t="s">
        <v>752</v>
      </c>
      <c r="F154" s="33" t="s">
        <v>49</v>
      </c>
      <c r="G154" s="33" t="s">
        <v>569</v>
      </c>
      <c r="H154" s="1" t="s">
        <v>344</v>
      </c>
      <c r="I154" s="115">
        <v>42392</v>
      </c>
      <c r="J154" s="115">
        <v>43487</v>
      </c>
      <c r="K154" s="1" t="s">
        <v>1172</v>
      </c>
      <c r="L154" s="1">
        <v>1000</v>
      </c>
      <c r="M154" s="1">
        <f t="shared" si="20"/>
        <v>0</v>
      </c>
      <c r="P154" s="1">
        <f t="shared" si="18"/>
        <v>0</v>
      </c>
      <c r="S154" s="1">
        <f t="shared" si="21"/>
        <v>0</v>
      </c>
      <c r="X154" s="1" t="s">
        <v>52</v>
      </c>
      <c r="Y154" s="1" t="s">
        <v>53</v>
      </c>
      <c r="Z154" s="1">
        <v>0</v>
      </c>
      <c r="AA154" s="1" t="s">
        <v>53</v>
      </c>
      <c r="AB154" s="1" t="s">
        <v>53</v>
      </c>
      <c r="AC154" s="1" t="s">
        <v>53</v>
      </c>
      <c r="AD154" s="1" t="s">
        <v>54</v>
      </c>
      <c r="AE154" s="1" t="s">
        <v>1173</v>
      </c>
      <c r="AR154" s="130">
        <f t="shared" si="19"/>
        <v>0</v>
      </c>
      <c r="BE154" s="130"/>
      <c r="BR154" s="129"/>
      <c r="BS154" s="19"/>
      <c r="BT154" s="19"/>
      <c r="BU154" s="19"/>
      <c r="BV154" s="19"/>
      <c r="BW154" s="19"/>
      <c r="BX154" s="19"/>
      <c r="BY154" s="19"/>
      <c r="BZ154" s="19"/>
      <c r="CA154" s="19"/>
      <c r="CB154" s="19"/>
      <c r="CC154" s="19"/>
      <c r="CD154" s="19"/>
      <c r="CE154" s="19"/>
      <c r="CF154" s="19"/>
      <c r="CG154" s="19"/>
      <c r="CH154" s="19"/>
      <c r="CI154" s="19"/>
      <c r="CJ154" s="19"/>
      <c r="CK154" s="19"/>
      <c r="CL154" s="19"/>
      <c r="CM154" s="19"/>
      <c r="CN154" s="19"/>
      <c r="CO154" s="19"/>
      <c r="CP154" s="19"/>
      <c r="CQ154" s="19"/>
      <c r="CR154" s="19"/>
      <c r="CS154" s="19"/>
      <c r="CT154" s="19"/>
      <c r="CU154" s="19"/>
      <c r="CV154" s="19"/>
      <c r="CW154" s="19"/>
      <c r="CX154" s="19"/>
      <c r="CY154" s="19"/>
      <c r="CZ154" s="19"/>
      <c r="DA154" s="19"/>
      <c r="DB154" s="19"/>
      <c r="DO154" s="1">
        <f t="shared" si="17"/>
        <v>0</v>
      </c>
      <c r="DP154" s="526"/>
    </row>
    <row r="155" spans="1:120" s="1" customFormat="1" ht="25.9" customHeight="1" x14ac:dyDescent="0.2">
      <c r="A155" s="6" t="s">
        <v>1174</v>
      </c>
      <c r="B155" s="33" t="s">
        <v>45</v>
      </c>
      <c r="C155" s="1" t="s">
        <v>1175</v>
      </c>
      <c r="D155" s="65" t="s">
        <v>1176</v>
      </c>
      <c r="E155" s="1" t="s">
        <v>1177</v>
      </c>
      <c r="F155" s="33" t="s">
        <v>49</v>
      </c>
      <c r="G155" s="33" t="s">
        <v>328</v>
      </c>
      <c r="H155" s="1" t="s">
        <v>329</v>
      </c>
      <c r="I155" s="115">
        <v>42461</v>
      </c>
      <c r="J155" s="115">
        <v>43556</v>
      </c>
      <c r="L155" s="1">
        <v>1004019.3300000001</v>
      </c>
      <c r="M155" s="1">
        <f t="shared" si="20"/>
        <v>14120</v>
      </c>
      <c r="P155" s="1">
        <f t="shared" si="18"/>
        <v>0</v>
      </c>
      <c r="S155" s="1">
        <f t="shared" si="21"/>
        <v>0</v>
      </c>
      <c r="X155" s="1" t="s">
        <v>52</v>
      </c>
      <c r="Y155" s="1" t="s">
        <v>53</v>
      </c>
      <c r="Z155" s="1">
        <v>0</v>
      </c>
      <c r="AA155" s="1" t="s">
        <v>53</v>
      </c>
      <c r="AB155" s="1" t="s">
        <v>53</v>
      </c>
      <c r="AC155" s="1" t="s">
        <v>53</v>
      </c>
      <c r="AD155" s="1" t="s">
        <v>54</v>
      </c>
      <c r="AE155" s="1" t="s">
        <v>1173</v>
      </c>
      <c r="AK155" s="1">
        <v>14120</v>
      </c>
      <c r="AR155" s="130">
        <f t="shared" si="19"/>
        <v>14120</v>
      </c>
      <c r="BE155" s="130"/>
      <c r="BR155" s="129"/>
      <c r="BS155" s="19"/>
      <c r="BT155" s="19"/>
      <c r="BU155" s="19"/>
      <c r="BV155" s="19"/>
      <c r="BW155" s="19"/>
      <c r="BX155" s="19"/>
      <c r="BY155" s="19"/>
      <c r="BZ155" s="19"/>
      <c r="CA155" s="19"/>
      <c r="CB155" s="19"/>
      <c r="CC155" s="19"/>
      <c r="CD155" s="19"/>
      <c r="CE155" s="19"/>
      <c r="CF155" s="19"/>
      <c r="CG155" s="19"/>
      <c r="CH155" s="19"/>
      <c r="CI155" s="19"/>
      <c r="CJ155" s="19"/>
      <c r="CK155" s="19"/>
      <c r="CL155" s="19"/>
      <c r="CM155" s="19"/>
      <c r="CN155" s="19"/>
      <c r="CO155" s="19"/>
      <c r="CP155" s="19"/>
      <c r="CQ155" s="19"/>
      <c r="CR155" s="19"/>
      <c r="CS155" s="19"/>
      <c r="CT155" s="19"/>
      <c r="CU155" s="19"/>
      <c r="CV155" s="19"/>
      <c r="CW155" s="19"/>
      <c r="CX155" s="19"/>
      <c r="CY155" s="19"/>
      <c r="CZ155" s="19"/>
      <c r="DA155" s="19"/>
      <c r="DB155" s="19"/>
      <c r="DO155" s="1">
        <f t="shared" si="17"/>
        <v>0</v>
      </c>
      <c r="DP155" s="526"/>
    </row>
    <row r="156" spans="1:120" s="1" customFormat="1" ht="25.9" customHeight="1" x14ac:dyDescent="0.2">
      <c r="A156" s="6" t="s">
        <v>1178</v>
      </c>
      <c r="B156" s="33" t="s">
        <v>45</v>
      </c>
      <c r="C156" s="1" t="s">
        <v>1179</v>
      </c>
      <c r="D156" s="65" t="s">
        <v>1180</v>
      </c>
      <c r="E156" s="1" t="s">
        <v>327</v>
      </c>
      <c r="F156" s="33" t="s">
        <v>49</v>
      </c>
      <c r="G156" s="33" t="s">
        <v>328</v>
      </c>
      <c r="H156" s="1" t="s">
        <v>329</v>
      </c>
      <c r="I156" s="115">
        <v>42655</v>
      </c>
      <c r="J156" s="115">
        <v>43385</v>
      </c>
      <c r="L156" s="1">
        <v>42340.570000000007</v>
      </c>
      <c r="M156" s="1">
        <f t="shared" si="20"/>
        <v>17534.89</v>
      </c>
      <c r="P156" s="1">
        <f t="shared" si="18"/>
        <v>0</v>
      </c>
      <c r="S156" s="1">
        <f t="shared" si="21"/>
        <v>0</v>
      </c>
      <c r="X156" s="1" t="s">
        <v>52</v>
      </c>
      <c r="Y156" s="1" t="s">
        <v>53</v>
      </c>
      <c r="Z156" s="1">
        <v>0</v>
      </c>
      <c r="AA156" s="1" t="s">
        <v>53</v>
      </c>
      <c r="AB156" s="1" t="s">
        <v>53</v>
      </c>
      <c r="AC156" s="1" t="s">
        <v>53</v>
      </c>
      <c r="AD156" s="1" t="s">
        <v>54</v>
      </c>
      <c r="AE156" s="1" t="s">
        <v>1181</v>
      </c>
      <c r="AG156" s="1">
        <v>1614.77</v>
      </c>
      <c r="AH156" s="1">
        <v>1452.11</v>
      </c>
      <c r="AI156" s="1">
        <v>1514.38</v>
      </c>
      <c r="AJ156" s="1">
        <f>1596.32+3293.03</f>
        <v>4889.3500000000004</v>
      </c>
      <c r="AK156" s="1">
        <f>2091.74+1596.32</f>
        <v>3688.0599999999995</v>
      </c>
      <c r="AL156" s="1">
        <v>1083.19</v>
      </c>
      <c r="AM156" s="1">
        <v>3293.03</v>
      </c>
      <c r="AR156" s="130">
        <f t="shared" si="19"/>
        <v>17534.89</v>
      </c>
      <c r="BE156" s="130"/>
      <c r="BR156" s="129"/>
      <c r="BS156" s="19"/>
      <c r="BT156" s="19"/>
      <c r="BU156" s="19"/>
      <c r="BV156" s="19"/>
      <c r="BW156" s="19"/>
      <c r="BX156" s="19"/>
      <c r="BY156" s="19"/>
      <c r="BZ156" s="19"/>
      <c r="CA156" s="19"/>
      <c r="CB156" s="19"/>
      <c r="CC156" s="19"/>
      <c r="CD156" s="19"/>
      <c r="CE156" s="19"/>
      <c r="CF156" s="19"/>
      <c r="CG156" s="19"/>
      <c r="CH156" s="19"/>
      <c r="CI156" s="19"/>
      <c r="CJ156" s="19"/>
      <c r="CK156" s="19"/>
      <c r="CL156" s="19"/>
      <c r="CM156" s="19"/>
      <c r="CN156" s="19"/>
      <c r="CO156" s="19"/>
      <c r="CP156" s="19"/>
      <c r="CQ156" s="19"/>
      <c r="CR156" s="19"/>
      <c r="CS156" s="19"/>
      <c r="CT156" s="19"/>
      <c r="CU156" s="19"/>
      <c r="CV156" s="19"/>
      <c r="CW156" s="19"/>
      <c r="CX156" s="19"/>
      <c r="CY156" s="19"/>
      <c r="CZ156" s="19"/>
      <c r="DA156" s="19"/>
      <c r="DB156" s="19"/>
      <c r="DO156" s="1">
        <f t="shared" si="17"/>
        <v>0</v>
      </c>
      <c r="DP156" s="526"/>
    </row>
    <row r="157" spans="1:120" s="1" customFormat="1" ht="25.9" customHeight="1" x14ac:dyDescent="0.2">
      <c r="A157" s="6" t="s">
        <v>1127</v>
      </c>
      <c r="B157" s="33" t="s">
        <v>107</v>
      </c>
      <c r="C157" s="1" t="s">
        <v>1128</v>
      </c>
      <c r="D157" s="1" t="s">
        <v>791</v>
      </c>
      <c r="E157" s="1" t="s">
        <v>1182</v>
      </c>
      <c r="F157" s="33" t="s">
        <v>49</v>
      </c>
      <c r="G157" s="33" t="s">
        <v>354</v>
      </c>
      <c r="H157" s="1" t="s">
        <v>793</v>
      </c>
      <c r="I157" s="115">
        <v>42805</v>
      </c>
      <c r="J157" s="115">
        <v>43900</v>
      </c>
      <c r="L157" s="1">
        <v>10024287.910000002</v>
      </c>
      <c r="M157" s="1">
        <f t="shared" si="20"/>
        <v>0</v>
      </c>
      <c r="P157" s="1">
        <f t="shared" si="18"/>
        <v>0</v>
      </c>
      <c r="S157" s="1">
        <f t="shared" si="21"/>
        <v>0</v>
      </c>
      <c r="X157" s="1" t="s">
        <v>52</v>
      </c>
      <c r="Y157" s="1" t="s">
        <v>53</v>
      </c>
      <c r="Z157" s="1">
        <v>0</v>
      </c>
      <c r="AA157" s="1" t="s">
        <v>53</v>
      </c>
      <c r="AB157" s="1" t="s">
        <v>53</v>
      </c>
      <c r="AC157" s="1" t="s">
        <v>53</v>
      </c>
      <c r="AD157" s="1" t="s">
        <v>54</v>
      </c>
      <c r="AE157" s="1" t="s">
        <v>1173</v>
      </c>
      <c r="AR157" s="130">
        <f t="shared" si="19"/>
        <v>0</v>
      </c>
      <c r="BE157" s="130"/>
      <c r="BR157" s="129"/>
      <c r="BS157" s="19"/>
      <c r="BT157" s="19"/>
      <c r="BU157" s="19"/>
      <c r="BV157" s="19"/>
      <c r="BW157" s="19"/>
      <c r="BX157" s="19"/>
      <c r="BY157" s="19"/>
      <c r="BZ157" s="19"/>
      <c r="CA157" s="19"/>
      <c r="CB157" s="19"/>
      <c r="CC157" s="19"/>
      <c r="CD157" s="19"/>
      <c r="CE157" s="19"/>
      <c r="CF157" s="19"/>
      <c r="CG157" s="19"/>
      <c r="CH157" s="19"/>
      <c r="CI157" s="19"/>
      <c r="CJ157" s="19"/>
      <c r="CK157" s="19"/>
      <c r="CL157" s="19"/>
      <c r="CM157" s="19"/>
      <c r="CN157" s="19"/>
      <c r="CO157" s="19"/>
      <c r="CP157" s="19"/>
      <c r="CQ157" s="19"/>
      <c r="CR157" s="19"/>
      <c r="CS157" s="19"/>
      <c r="CT157" s="19"/>
      <c r="CU157" s="19"/>
      <c r="CV157" s="19"/>
      <c r="CW157" s="19"/>
      <c r="CX157" s="19"/>
      <c r="CY157" s="19"/>
      <c r="CZ157" s="19"/>
      <c r="DA157" s="19"/>
      <c r="DB157" s="19"/>
      <c r="DO157" s="1">
        <f t="shared" si="17"/>
        <v>0</v>
      </c>
      <c r="DP157" s="526"/>
    </row>
    <row r="158" spans="1:120" s="1" customFormat="1" ht="25.9" customHeight="1" x14ac:dyDescent="0.2">
      <c r="A158" s="6" t="s">
        <v>1183</v>
      </c>
      <c r="B158" s="33" t="s">
        <v>107</v>
      </c>
      <c r="C158" s="1" t="s">
        <v>1184</v>
      </c>
      <c r="D158" s="65" t="s">
        <v>818</v>
      </c>
      <c r="E158" s="1" t="s">
        <v>819</v>
      </c>
      <c r="F158" s="33" t="s">
        <v>49</v>
      </c>
      <c r="G158" s="33" t="s">
        <v>328</v>
      </c>
      <c r="H158" s="1" t="s">
        <v>820</v>
      </c>
      <c r="I158" s="115">
        <v>41452</v>
      </c>
      <c r="J158" s="115">
        <v>42182</v>
      </c>
      <c r="L158" s="1">
        <v>570964.43999999994</v>
      </c>
      <c r="M158" s="1">
        <f t="shared" si="20"/>
        <v>300159.94</v>
      </c>
      <c r="P158" s="1">
        <f t="shared" si="18"/>
        <v>0</v>
      </c>
      <c r="S158" s="1">
        <f t="shared" si="21"/>
        <v>0</v>
      </c>
      <c r="X158" s="1" t="s">
        <v>517</v>
      </c>
      <c r="Y158" s="1" t="s">
        <v>53</v>
      </c>
      <c r="Z158" s="1">
        <v>0</v>
      </c>
      <c r="AA158" s="1" t="s">
        <v>53</v>
      </c>
      <c r="AB158" s="1" t="s">
        <v>53</v>
      </c>
      <c r="AC158" s="1" t="s">
        <v>53</v>
      </c>
      <c r="AD158" s="1" t="s">
        <v>54</v>
      </c>
      <c r="AE158" s="1" t="s">
        <v>1173</v>
      </c>
      <c r="AF158" s="1">
        <v>5439.28</v>
      </c>
      <c r="AG158" s="1">
        <f>9502.56+9547.23+9590+17962.12</f>
        <v>46601.91</v>
      </c>
      <c r="AL158" s="1">
        <f>40239+207879.75</f>
        <v>248118.75</v>
      </c>
      <c r="AR158" s="130">
        <f t="shared" si="19"/>
        <v>300159.94</v>
      </c>
      <c r="BE158" s="130"/>
      <c r="BR158" s="129"/>
      <c r="BS158" s="19"/>
      <c r="BT158" s="19"/>
      <c r="BU158" s="19"/>
      <c r="BV158" s="19"/>
      <c r="BW158" s="19"/>
      <c r="BX158" s="19"/>
      <c r="BY158" s="19"/>
      <c r="BZ158" s="19"/>
      <c r="CA158" s="19"/>
      <c r="CB158" s="19"/>
      <c r="CC158" s="19"/>
      <c r="CD158" s="19"/>
      <c r="CE158" s="19"/>
      <c r="CF158" s="19"/>
      <c r="CG158" s="19"/>
      <c r="CH158" s="19"/>
      <c r="CI158" s="19"/>
      <c r="CJ158" s="19"/>
      <c r="CK158" s="19"/>
      <c r="CL158" s="19"/>
      <c r="CM158" s="19"/>
      <c r="CN158" s="19"/>
      <c r="CO158" s="19"/>
      <c r="CP158" s="19"/>
      <c r="CQ158" s="19"/>
      <c r="CR158" s="19"/>
      <c r="CS158" s="19"/>
      <c r="CT158" s="19"/>
      <c r="CU158" s="19"/>
      <c r="CV158" s="19"/>
      <c r="CW158" s="19"/>
      <c r="CX158" s="19"/>
      <c r="CY158" s="19"/>
      <c r="CZ158" s="19"/>
      <c r="DA158" s="19"/>
      <c r="DB158" s="19"/>
      <c r="DO158" s="1">
        <f t="shared" si="17"/>
        <v>0</v>
      </c>
      <c r="DP158" s="526"/>
    </row>
    <row r="159" spans="1:120" s="1" customFormat="1" ht="25.9" customHeight="1" x14ac:dyDescent="0.2">
      <c r="A159" s="6" t="s">
        <v>1185</v>
      </c>
      <c r="B159" s="33" t="s">
        <v>107</v>
      </c>
      <c r="C159" s="1" t="s">
        <v>1186</v>
      </c>
      <c r="D159" s="1" t="s">
        <v>1187</v>
      </c>
      <c r="E159" s="1" t="s">
        <v>1188</v>
      </c>
      <c r="F159" s="33" t="s">
        <v>49</v>
      </c>
      <c r="G159" s="33" t="s">
        <v>328</v>
      </c>
      <c r="H159" s="1" t="s">
        <v>820</v>
      </c>
      <c r="I159" s="115">
        <v>42865</v>
      </c>
      <c r="J159" s="115">
        <v>43961</v>
      </c>
      <c r="M159" s="1">
        <f t="shared" si="20"/>
        <v>0</v>
      </c>
      <c r="P159" s="1">
        <f t="shared" si="18"/>
        <v>0</v>
      </c>
      <c r="S159" s="1">
        <f t="shared" si="21"/>
        <v>0</v>
      </c>
      <c r="X159" s="1" t="s">
        <v>52</v>
      </c>
      <c r="Y159" s="1" t="s">
        <v>53</v>
      </c>
      <c r="Z159" s="1">
        <v>0</v>
      </c>
      <c r="AA159" s="1" t="s">
        <v>53</v>
      </c>
      <c r="AB159" s="1" t="s">
        <v>53</v>
      </c>
      <c r="AC159" s="1" t="s">
        <v>53</v>
      </c>
      <c r="AD159" s="1" t="s">
        <v>54</v>
      </c>
      <c r="AE159" s="1" t="s">
        <v>1173</v>
      </c>
      <c r="AR159" s="130">
        <f t="shared" si="19"/>
        <v>0</v>
      </c>
      <c r="BE159" s="130"/>
      <c r="BR159" s="129"/>
      <c r="BS159" s="19"/>
      <c r="BT159" s="19"/>
      <c r="BU159" s="19"/>
      <c r="BV159" s="19"/>
      <c r="BW159" s="19"/>
      <c r="BX159" s="19"/>
      <c r="BY159" s="19"/>
      <c r="BZ159" s="19"/>
      <c r="CA159" s="19"/>
      <c r="CB159" s="19"/>
      <c r="CC159" s="19"/>
      <c r="CD159" s="19"/>
      <c r="CE159" s="19"/>
      <c r="CF159" s="19"/>
      <c r="CG159" s="19"/>
      <c r="CH159" s="19"/>
      <c r="CI159" s="19"/>
      <c r="CJ159" s="19"/>
      <c r="CK159" s="19"/>
      <c r="CL159" s="19"/>
      <c r="CM159" s="19"/>
      <c r="CN159" s="19"/>
      <c r="CO159" s="19"/>
      <c r="CP159" s="19"/>
      <c r="CQ159" s="19"/>
      <c r="CR159" s="19"/>
      <c r="CS159" s="19"/>
      <c r="CT159" s="19"/>
      <c r="CU159" s="19"/>
      <c r="CV159" s="19"/>
      <c r="CW159" s="19"/>
      <c r="CX159" s="19"/>
      <c r="CY159" s="19"/>
      <c r="CZ159" s="19"/>
      <c r="DA159" s="19"/>
      <c r="DB159" s="19"/>
      <c r="DO159" s="1">
        <f t="shared" si="17"/>
        <v>0</v>
      </c>
      <c r="DP159" s="526"/>
    </row>
    <row r="160" spans="1:120" s="1" customFormat="1" ht="25.9" customHeight="1" x14ac:dyDescent="0.2">
      <c r="A160" s="6" t="s">
        <v>1189</v>
      </c>
      <c r="B160" s="33" t="s">
        <v>107</v>
      </c>
      <c r="C160" s="1" t="s">
        <v>1186</v>
      </c>
      <c r="D160" s="1" t="s">
        <v>1190</v>
      </c>
      <c r="E160" s="1" t="s">
        <v>1191</v>
      </c>
      <c r="F160" s="33" t="s">
        <v>49</v>
      </c>
      <c r="G160" s="33" t="s">
        <v>328</v>
      </c>
      <c r="H160" s="1" t="s">
        <v>820</v>
      </c>
      <c r="I160" s="115">
        <v>42865</v>
      </c>
      <c r="J160" s="115">
        <v>43961</v>
      </c>
      <c r="M160" s="1">
        <f t="shared" si="20"/>
        <v>0</v>
      </c>
      <c r="P160" s="1">
        <f t="shared" si="18"/>
        <v>0</v>
      </c>
      <c r="S160" s="1">
        <f t="shared" si="21"/>
        <v>0</v>
      </c>
      <c r="X160" s="1" t="s">
        <v>52</v>
      </c>
      <c r="Y160" s="1" t="s">
        <v>53</v>
      </c>
      <c r="Z160" s="1">
        <v>0</v>
      </c>
      <c r="AA160" s="1" t="s">
        <v>53</v>
      </c>
      <c r="AB160" s="1" t="s">
        <v>53</v>
      </c>
      <c r="AC160" s="1" t="s">
        <v>53</v>
      </c>
      <c r="AD160" s="1" t="s">
        <v>54</v>
      </c>
      <c r="AE160" s="1" t="s">
        <v>1173</v>
      </c>
      <c r="AR160" s="130">
        <f t="shared" si="19"/>
        <v>0</v>
      </c>
      <c r="BE160" s="130"/>
      <c r="BR160" s="129"/>
      <c r="BS160" s="19"/>
      <c r="BT160" s="19"/>
      <c r="BU160" s="19"/>
      <c r="BV160" s="19"/>
      <c r="BW160" s="19"/>
      <c r="BX160" s="19"/>
      <c r="BY160" s="19"/>
      <c r="BZ160" s="19"/>
      <c r="CA160" s="19"/>
      <c r="CB160" s="19"/>
      <c r="CC160" s="19"/>
      <c r="CD160" s="19"/>
      <c r="CE160" s="19"/>
      <c r="CF160" s="19"/>
      <c r="CG160" s="19"/>
      <c r="CH160" s="19"/>
      <c r="CI160" s="19"/>
      <c r="CJ160" s="19"/>
      <c r="CK160" s="19"/>
      <c r="CL160" s="19"/>
      <c r="CM160" s="19"/>
      <c r="CN160" s="19"/>
      <c r="CO160" s="19"/>
      <c r="CP160" s="19"/>
      <c r="CQ160" s="19"/>
      <c r="CR160" s="19"/>
      <c r="CS160" s="19"/>
      <c r="CT160" s="19"/>
      <c r="CU160" s="19"/>
      <c r="CV160" s="19"/>
      <c r="CW160" s="19"/>
      <c r="CX160" s="19"/>
      <c r="CY160" s="19"/>
      <c r="CZ160" s="19"/>
      <c r="DA160" s="19"/>
      <c r="DB160" s="19"/>
      <c r="DO160" s="1">
        <f t="shared" si="17"/>
        <v>0</v>
      </c>
      <c r="DP160" s="526"/>
    </row>
    <row r="161" spans="1:120" s="1" customFormat="1" ht="25.9" customHeight="1" x14ac:dyDescent="0.2">
      <c r="A161" s="6" t="s">
        <v>1192</v>
      </c>
      <c r="B161" s="33" t="s">
        <v>107</v>
      </c>
      <c r="C161" s="1" t="s">
        <v>1186</v>
      </c>
      <c r="D161" s="1" t="s">
        <v>1193</v>
      </c>
      <c r="E161" s="1" t="s">
        <v>1194</v>
      </c>
      <c r="F161" s="33" t="s">
        <v>49</v>
      </c>
      <c r="G161" s="33" t="s">
        <v>328</v>
      </c>
      <c r="H161" s="1" t="s">
        <v>820</v>
      </c>
      <c r="I161" s="115">
        <v>42865</v>
      </c>
      <c r="J161" s="115">
        <v>43961</v>
      </c>
      <c r="L161" s="1">
        <v>2775033.9000000004</v>
      </c>
      <c r="M161" s="1">
        <f t="shared" si="20"/>
        <v>1888043.8399999999</v>
      </c>
      <c r="P161" s="1">
        <f t="shared" si="18"/>
        <v>0</v>
      </c>
      <c r="S161" s="1">
        <f t="shared" si="21"/>
        <v>0</v>
      </c>
      <c r="X161" s="1" t="s">
        <v>52</v>
      </c>
      <c r="Y161" s="1" t="s">
        <v>53</v>
      </c>
      <c r="Z161" s="1">
        <v>0</v>
      </c>
      <c r="AA161" s="1" t="s">
        <v>53</v>
      </c>
      <c r="AB161" s="1" t="s">
        <v>53</v>
      </c>
      <c r="AC161" s="1" t="s">
        <v>53</v>
      </c>
      <c r="AD161" s="1" t="s">
        <v>54</v>
      </c>
      <c r="AE161" s="1" t="s">
        <v>1173</v>
      </c>
      <c r="AG161" s="1">
        <v>221867.82</v>
      </c>
      <c r="AH161" s="1">
        <f>138000+171192.81+483189.29</f>
        <v>792382.1</v>
      </c>
      <c r="AM161" s="1">
        <f>21004.57+222604.84</f>
        <v>243609.41</v>
      </c>
      <c r="AN161" s="1">
        <f>69247.84+394186.67</f>
        <v>463434.51</v>
      </c>
      <c r="AP161" s="1">
        <f>51750+115000</f>
        <v>166750</v>
      </c>
      <c r="AR161" s="130">
        <f t="shared" si="19"/>
        <v>1888043.8399999999</v>
      </c>
      <c r="BE161" s="130"/>
      <c r="BR161" s="129"/>
      <c r="BS161" s="19"/>
      <c r="BT161" s="19"/>
      <c r="BU161" s="19"/>
      <c r="BV161" s="19"/>
      <c r="BW161" s="19"/>
      <c r="BX161" s="19"/>
      <c r="BY161" s="19"/>
      <c r="BZ161" s="19"/>
      <c r="CA161" s="19"/>
      <c r="CB161" s="19"/>
      <c r="CC161" s="19"/>
      <c r="CD161" s="19"/>
      <c r="CE161" s="19"/>
      <c r="CF161" s="19"/>
      <c r="CG161" s="19"/>
      <c r="CH161" s="19"/>
      <c r="CI161" s="19"/>
      <c r="CJ161" s="19"/>
      <c r="CK161" s="19"/>
      <c r="CL161" s="19"/>
      <c r="CM161" s="19"/>
      <c r="CN161" s="19"/>
      <c r="CO161" s="19"/>
      <c r="CP161" s="19"/>
      <c r="CQ161" s="19"/>
      <c r="CR161" s="19"/>
      <c r="CS161" s="19"/>
      <c r="CT161" s="19"/>
      <c r="CU161" s="19"/>
      <c r="CV161" s="19"/>
      <c r="CW161" s="19"/>
      <c r="CX161" s="19"/>
      <c r="CY161" s="19"/>
      <c r="CZ161" s="19"/>
      <c r="DA161" s="19"/>
      <c r="DB161" s="19"/>
      <c r="DO161" s="1">
        <f t="shared" si="17"/>
        <v>0</v>
      </c>
      <c r="DP161" s="526"/>
    </row>
    <row r="162" spans="1:120" s="1" customFormat="1" ht="25.9" customHeight="1" x14ac:dyDescent="0.2">
      <c r="A162" s="6" t="s">
        <v>1195</v>
      </c>
      <c r="B162" s="33" t="s">
        <v>107</v>
      </c>
      <c r="C162" s="1" t="s">
        <v>1186</v>
      </c>
      <c r="D162" s="1" t="s">
        <v>1196</v>
      </c>
      <c r="E162" s="1" t="s">
        <v>1197</v>
      </c>
      <c r="F162" s="33" t="s">
        <v>49</v>
      </c>
      <c r="G162" s="33" t="s">
        <v>328</v>
      </c>
      <c r="H162" s="1" t="s">
        <v>820</v>
      </c>
      <c r="I162" s="115">
        <v>42865</v>
      </c>
      <c r="J162" s="115">
        <v>43961</v>
      </c>
      <c r="M162" s="1">
        <f t="shared" si="20"/>
        <v>0</v>
      </c>
      <c r="P162" s="1">
        <f t="shared" si="18"/>
        <v>0</v>
      </c>
      <c r="S162" s="1">
        <f t="shared" si="21"/>
        <v>0</v>
      </c>
      <c r="X162" s="1" t="s">
        <v>52</v>
      </c>
      <c r="Y162" s="1" t="s">
        <v>53</v>
      </c>
      <c r="Z162" s="1">
        <v>0</v>
      </c>
      <c r="AA162" s="1" t="s">
        <v>53</v>
      </c>
      <c r="AB162" s="1" t="s">
        <v>53</v>
      </c>
      <c r="AC162" s="1" t="s">
        <v>53</v>
      </c>
      <c r="AD162" s="1" t="s">
        <v>54</v>
      </c>
      <c r="AE162" s="1" t="s">
        <v>1173</v>
      </c>
      <c r="AR162" s="130">
        <f t="shared" si="19"/>
        <v>0</v>
      </c>
      <c r="BE162" s="130"/>
      <c r="BR162" s="129"/>
      <c r="BS162" s="19"/>
      <c r="BT162" s="19"/>
      <c r="BU162" s="19"/>
      <c r="BV162" s="19"/>
      <c r="BW162" s="19"/>
      <c r="BX162" s="19"/>
      <c r="BY162" s="19"/>
      <c r="BZ162" s="19"/>
      <c r="CA162" s="19"/>
      <c r="CB162" s="19"/>
      <c r="CC162" s="19"/>
      <c r="CD162" s="19"/>
      <c r="CE162" s="19"/>
      <c r="CF162" s="19"/>
      <c r="CG162" s="19"/>
      <c r="CH162" s="19"/>
      <c r="CI162" s="19"/>
      <c r="CJ162" s="19"/>
      <c r="CK162" s="19"/>
      <c r="CL162" s="19"/>
      <c r="CM162" s="19"/>
      <c r="CN162" s="19"/>
      <c r="CO162" s="19"/>
      <c r="CP162" s="19"/>
      <c r="CQ162" s="19"/>
      <c r="CR162" s="19"/>
      <c r="CS162" s="19"/>
      <c r="CT162" s="19"/>
      <c r="CU162" s="19"/>
      <c r="CV162" s="19"/>
      <c r="CW162" s="19"/>
      <c r="CX162" s="19"/>
      <c r="CY162" s="19"/>
      <c r="CZ162" s="19"/>
      <c r="DA162" s="19"/>
      <c r="DB162" s="19"/>
      <c r="DO162" s="1">
        <f t="shared" si="17"/>
        <v>0</v>
      </c>
      <c r="DP162" s="526"/>
    </row>
    <row r="163" spans="1:120" s="1" customFormat="1" ht="25.9" customHeight="1" x14ac:dyDescent="0.2">
      <c r="A163" s="6" t="s">
        <v>1198</v>
      </c>
      <c r="B163" s="33" t="s">
        <v>107</v>
      </c>
      <c r="C163" s="1" t="s">
        <v>1186</v>
      </c>
      <c r="D163" s="1" t="s">
        <v>1199</v>
      </c>
      <c r="E163" s="1" t="s">
        <v>752</v>
      </c>
      <c r="F163" s="33" t="s">
        <v>49</v>
      </c>
      <c r="G163" s="33" t="s">
        <v>328</v>
      </c>
      <c r="H163" s="1" t="s">
        <v>820</v>
      </c>
      <c r="I163" s="115">
        <v>42865</v>
      </c>
      <c r="J163" s="115">
        <v>43961</v>
      </c>
      <c r="M163" s="1">
        <f t="shared" si="20"/>
        <v>0</v>
      </c>
      <c r="P163" s="1">
        <f t="shared" si="18"/>
        <v>0</v>
      </c>
      <c r="S163" s="1">
        <f t="shared" si="21"/>
        <v>0</v>
      </c>
      <c r="X163" s="1" t="s">
        <v>52</v>
      </c>
      <c r="Y163" s="1" t="s">
        <v>53</v>
      </c>
      <c r="Z163" s="1">
        <v>0</v>
      </c>
      <c r="AA163" s="1" t="s">
        <v>53</v>
      </c>
      <c r="AB163" s="1" t="s">
        <v>53</v>
      </c>
      <c r="AC163" s="1" t="s">
        <v>53</v>
      </c>
      <c r="AD163" s="1" t="s">
        <v>54</v>
      </c>
      <c r="AE163" s="1" t="s">
        <v>1173</v>
      </c>
      <c r="AR163" s="130">
        <f t="shared" si="19"/>
        <v>0</v>
      </c>
      <c r="BE163" s="130"/>
      <c r="BR163" s="129"/>
      <c r="BS163" s="19"/>
      <c r="BT163" s="19"/>
      <c r="BU163" s="19"/>
      <c r="BV163" s="19"/>
      <c r="BW163" s="19"/>
      <c r="BX163" s="19"/>
      <c r="BY163" s="19"/>
      <c r="BZ163" s="19"/>
      <c r="CA163" s="19"/>
      <c r="CB163" s="19"/>
      <c r="CC163" s="19"/>
      <c r="CD163" s="19"/>
      <c r="CE163" s="19"/>
      <c r="CF163" s="19"/>
      <c r="CG163" s="19"/>
      <c r="CH163" s="19"/>
      <c r="CI163" s="19"/>
      <c r="CJ163" s="19"/>
      <c r="CK163" s="19"/>
      <c r="CL163" s="19"/>
      <c r="CM163" s="19"/>
      <c r="CN163" s="19"/>
      <c r="CO163" s="19"/>
      <c r="CP163" s="19"/>
      <c r="CQ163" s="19"/>
      <c r="CR163" s="19"/>
      <c r="CS163" s="19"/>
      <c r="CT163" s="19"/>
      <c r="CU163" s="19"/>
      <c r="CV163" s="19"/>
      <c r="CW163" s="19"/>
      <c r="CX163" s="19"/>
      <c r="CY163" s="19"/>
      <c r="CZ163" s="19"/>
      <c r="DA163" s="19"/>
      <c r="DB163" s="19"/>
      <c r="DO163" s="1">
        <f t="shared" si="17"/>
        <v>0</v>
      </c>
      <c r="DP163" s="526"/>
    </row>
    <row r="164" spans="1:120" s="1" customFormat="1" ht="25.9" customHeight="1" x14ac:dyDescent="0.2">
      <c r="A164" s="6" t="s">
        <v>1200</v>
      </c>
      <c r="B164" s="33" t="s">
        <v>45</v>
      </c>
      <c r="C164" s="1" t="s">
        <v>1201</v>
      </c>
      <c r="D164" s="1" t="s">
        <v>1202</v>
      </c>
      <c r="E164" s="1" t="s">
        <v>1203</v>
      </c>
      <c r="F164" s="33" t="s">
        <v>49</v>
      </c>
      <c r="G164" s="33" t="s">
        <v>734</v>
      </c>
      <c r="H164" s="1" t="s">
        <v>389</v>
      </c>
      <c r="I164" s="115">
        <v>42990</v>
      </c>
      <c r="J164" s="115" t="s">
        <v>330</v>
      </c>
      <c r="K164" s="1">
        <v>455875.99</v>
      </c>
      <c r="L164" s="1">
        <v>455875.99</v>
      </c>
      <c r="M164" s="1">
        <f t="shared" si="20"/>
        <v>0</v>
      </c>
      <c r="P164" s="1">
        <f t="shared" si="18"/>
        <v>0</v>
      </c>
      <c r="S164" s="1">
        <f t="shared" si="21"/>
        <v>0</v>
      </c>
      <c r="U164" s="1">
        <v>0</v>
      </c>
      <c r="X164" s="1" t="s">
        <v>330</v>
      </c>
      <c r="Y164" s="1" t="s">
        <v>53</v>
      </c>
      <c r="Z164" s="1">
        <v>0</v>
      </c>
      <c r="AA164" s="1" t="s">
        <v>53</v>
      </c>
      <c r="AB164" s="1" t="s">
        <v>53</v>
      </c>
      <c r="AC164" s="1" t="s">
        <v>53</v>
      </c>
      <c r="AD164" s="1" t="s">
        <v>54</v>
      </c>
      <c r="AE164" s="1" t="s">
        <v>1204</v>
      </c>
      <c r="AR164" s="130">
        <f t="shared" si="19"/>
        <v>0</v>
      </c>
      <c r="BE164" s="130"/>
      <c r="BR164" s="129"/>
      <c r="BS164" s="19"/>
      <c r="BT164" s="19"/>
      <c r="BU164" s="19"/>
      <c r="BV164" s="19"/>
      <c r="BW164" s="19"/>
      <c r="BX164" s="19"/>
      <c r="BY164" s="19"/>
      <c r="BZ164" s="19"/>
      <c r="CA164" s="19"/>
      <c r="CB164" s="19"/>
      <c r="CC164" s="19"/>
      <c r="CD164" s="19"/>
      <c r="CE164" s="19"/>
      <c r="CF164" s="19"/>
      <c r="CG164" s="19"/>
      <c r="CH164" s="19"/>
      <c r="CI164" s="19"/>
      <c r="CJ164" s="19"/>
      <c r="CK164" s="19"/>
      <c r="CL164" s="19"/>
      <c r="CM164" s="19"/>
      <c r="CN164" s="19"/>
      <c r="CO164" s="19"/>
      <c r="CP164" s="19"/>
      <c r="CQ164" s="19"/>
      <c r="CR164" s="19"/>
      <c r="CS164" s="19"/>
      <c r="CT164" s="19"/>
      <c r="CU164" s="19"/>
      <c r="CV164" s="19"/>
      <c r="CW164" s="19"/>
      <c r="CX164" s="19"/>
      <c r="CY164" s="19"/>
      <c r="CZ164" s="19"/>
      <c r="DA164" s="19"/>
      <c r="DB164" s="19"/>
      <c r="DO164" s="1">
        <f t="shared" si="17"/>
        <v>0</v>
      </c>
      <c r="DP164" s="526"/>
    </row>
    <row r="165" spans="1:120" s="1" customFormat="1" ht="25.9" customHeight="1" x14ac:dyDescent="0.2">
      <c r="A165" s="6" t="s">
        <v>1205</v>
      </c>
      <c r="B165" s="33" t="s">
        <v>45</v>
      </c>
      <c r="C165" s="1" t="s">
        <v>1206</v>
      </c>
      <c r="D165" s="1" t="s">
        <v>1202</v>
      </c>
      <c r="E165" s="1" t="s">
        <v>1203</v>
      </c>
      <c r="F165" s="33" t="s">
        <v>49</v>
      </c>
      <c r="G165" s="33" t="s">
        <v>734</v>
      </c>
      <c r="H165" s="1" t="s">
        <v>389</v>
      </c>
      <c r="I165" s="115">
        <v>42990</v>
      </c>
      <c r="J165" s="115" t="s">
        <v>330</v>
      </c>
      <c r="K165" s="1">
        <v>592925.86</v>
      </c>
      <c r="L165" s="1">
        <v>592925.86</v>
      </c>
      <c r="M165" s="1">
        <f t="shared" si="20"/>
        <v>0</v>
      </c>
      <c r="P165" s="1">
        <f t="shared" si="18"/>
        <v>0</v>
      </c>
      <c r="S165" s="1">
        <f t="shared" si="21"/>
        <v>0</v>
      </c>
      <c r="U165" s="1">
        <v>0</v>
      </c>
      <c r="X165" s="1" t="s">
        <v>330</v>
      </c>
      <c r="Y165" s="1" t="s">
        <v>53</v>
      </c>
      <c r="Z165" s="1">
        <v>0</v>
      </c>
      <c r="AA165" s="1" t="s">
        <v>53</v>
      </c>
      <c r="AB165" s="1" t="s">
        <v>53</v>
      </c>
      <c r="AC165" s="1" t="s">
        <v>53</v>
      </c>
      <c r="AD165" s="1" t="s">
        <v>54</v>
      </c>
      <c r="AE165" s="1" t="s">
        <v>1204</v>
      </c>
      <c r="AR165" s="130">
        <f t="shared" si="19"/>
        <v>0</v>
      </c>
      <c r="BE165" s="130"/>
      <c r="BR165" s="129"/>
      <c r="BS165" s="19"/>
      <c r="BT165" s="19"/>
      <c r="BU165" s="19"/>
      <c r="BV165" s="19"/>
      <c r="BW165" s="19"/>
      <c r="BX165" s="19"/>
      <c r="BY165" s="19"/>
      <c r="BZ165" s="19"/>
      <c r="CA165" s="19"/>
      <c r="CB165" s="19"/>
      <c r="CC165" s="19"/>
      <c r="CD165" s="19"/>
      <c r="CE165" s="19"/>
      <c r="CF165" s="19"/>
      <c r="CG165" s="19"/>
      <c r="CH165" s="19"/>
      <c r="CI165" s="19"/>
      <c r="CJ165" s="19"/>
      <c r="CK165" s="19"/>
      <c r="CL165" s="19"/>
      <c r="CM165" s="19"/>
      <c r="CN165" s="19"/>
      <c r="CO165" s="19"/>
      <c r="CP165" s="19"/>
      <c r="CQ165" s="19"/>
      <c r="CR165" s="19"/>
      <c r="CS165" s="19"/>
      <c r="CT165" s="19"/>
      <c r="CU165" s="19"/>
      <c r="CV165" s="19"/>
      <c r="CW165" s="19"/>
      <c r="CX165" s="19"/>
      <c r="CY165" s="19"/>
      <c r="CZ165" s="19"/>
      <c r="DA165" s="19"/>
      <c r="DB165" s="19"/>
      <c r="DO165" s="1">
        <f t="shared" si="17"/>
        <v>0</v>
      </c>
      <c r="DP165" s="526"/>
    </row>
    <row r="166" spans="1:120" s="1" customFormat="1" ht="25.9" customHeight="1" x14ac:dyDescent="0.2">
      <c r="A166" s="6" t="s">
        <v>1207</v>
      </c>
      <c r="B166" s="33" t="s">
        <v>107</v>
      </c>
      <c r="C166" s="1" t="s">
        <v>1208</v>
      </c>
      <c r="D166" s="1" t="s">
        <v>403</v>
      </c>
      <c r="E166" s="1" t="s">
        <v>404</v>
      </c>
      <c r="F166" s="33" t="s">
        <v>49</v>
      </c>
      <c r="G166" s="33" t="s">
        <v>328</v>
      </c>
      <c r="H166" s="1" t="s">
        <v>814</v>
      </c>
      <c r="I166" s="115">
        <v>42937</v>
      </c>
      <c r="J166" s="115">
        <v>43301</v>
      </c>
      <c r="K166" s="1">
        <v>12587.93</v>
      </c>
      <c r="L166" s="1">
        <v>13682.920000000004</v>
      </c>
      <c r="M166" s="1">
        <f t="shared" si="20"/>
        <v>0</v>
      </c>
      <c r="P166" s="1">
        <f t="shared" si="18"/>
        <v>0</v>
      </c>
      <c r="S166" s="1">
        <f t="shared" si="21"/>
        <v>0</v>
      </c>
      <c r="U166" s="1">
        <v>-1094.9900000000034</v>
      </c>
      <c r="X166" s="1" t="s">
        <v>517</v>
      </c>
      <c r="Y166" s="1" t="s">
        <v>53</v>
      </c>
      <c r="Z166" s="1">
        <v>0</v>
      </c>
      <c r="AA166" s="1" t="s">
        <v>53</v>
      </c>
      <c r="AB166" s="1" t="s">
        <v>53</v>
      </c>
      <c r="AC166" s="1" t="s">
        <v>53</v>
      </c>
      <c r="AD166" s="1" t="s">
        <v>54</v>
      </c>
      <c r="AE166" s="1" t="s">
        <v>1209</v>
      </c>
      <c r="AR166" s="130">
        <f t="shared" si="19"/>
        <v>0</v>
      </c>
      <c r="BE166" s="130"/>
      <c r="BR166" s="129"/>
      <c r="BS166" s="19"/>
      <c r="BT166" s="19"/>
      <c r="BU166" s="19"/>
      <c r="BV166" s="19"/>
      <c r="BW166" s="19"/>
      <c r="BX166" s="19"/>
      <c r="BY166" s="19"/>
      <c r="BZ166" s="19"/>
      <c r="CA166" s="19"/>
      <c r="CB166" s="19"/>
      <c r="CC166" s="19"/>
      <c r="CD166" s="19"/>
      <c r="CE166" s="19"/>
      <c r="CF166" s="19"/>
      <c r="CG166" s="19"/>
      <c r="CH166" s="19"/>
      <c r="CI166" s="19"/>
      <c r="CJ166" s="19"/>
      <c r="CK166" s="19"/>
      <c r="CL166" s="19"/>
      <c r="CM166" s="19"/>
      <c r="CN166" s="19"/>
      <c r="CO166" s="19"/>
      <c r="CP166" s="19"/>
      <c r="CQ166" s="19"/>
      <c r="CR166" s="19"/>
      <c r="CS166" s="19"/>
      <c r="CT166" s="19"/>
      <c r="CU166" s="19"/>
      <c r="CV166" s="19"/>
      <c r="CW166" s="19"/>
      <c r="CX166" s="19"/>
      <c r="CY166" s="19"/>
      <c r="CZ166" s="19"/>
      <c r="DA166" s="19"/>
      <c r="DB166" s="19"/>
      <c r="DO166" s="1">
        <f t="shared" si="17"/>
        <v>0</v>
      </c>
      <c r="DP166" s="526"/>
    </row>
    <row r="167" spans="1:120" s="1" customFormat="1" ht="25.9" customHeight="1" x14ac:dyDescent="0.2">
      <c r="A167" s="6" t="s">
        <v>1210</v>
      </c>
      <c r="B167" s="33" t="s">
        <v>107</v>
      </c>
      <c r="C167" s="1" t="s">
        <v>1211</v>
      </c>
      <c r="D167" s="1" t="s">
        <v>1212</v>
      </c>
      <c r="E167" s="1" t="s">
        <v>1213</v>
      </c>
      <c r="F167" s="33" t="s">
        <v>49</v>
      </c>
      <c r="G167" s="33" t="s">
        <v>315</v>
      </c>
      <c r="H167" s="1" t="s">
        <v>814</v>
      </c>
      <c r="I167" s="115">
        <v>42937</v>
      </c>
      <c r="J167" s="115">
        <v>43301</v>
      </c>
      <c r="K167" s="1">
        <v>741000</v>
      </c>
      <c r="L167" s="1">
        <v>550000</v>
      </c>
      <c r="M167" s="1">
        <f t="shared" si="20"/>
        <v>0</v>
      </c>
      <c r="P167" s="1">
        <f t="shared" si="18"/>
        <v>0</v>
      </c>
      <c r="S167" s="1">
        <f t="shared" si="21"/>
        <v>0</v>
      </c>
      <c r="U167" s="1">
        <v>191000</v>
      </c>
      <c r="X167" s="1" t="s">
        <v>517</v>
      </c>
      <c r="Y167" s="1" t="s">
        <v>53</v>
      </c>
      <c r="Z167" s="1">
        <v>0</v>
      </c>
      <c r="AA167" s="1" t="s">
        <v>53</v>
      </c>
      <c r="AB167" s="1" t="s">
        <v>53</v>
      </c>
      <c r="AC167" s="1" t="s">
        <v>53</v>
      </c>
      <c r="AD167" s="1" t="s">
        <v>54</v>
      </c>
      <c r="AE167" s="1" t="s">
        <v>1214</v>
      </c>
      <c r="AR167" s="130">
        <f t="shared" si="19"/>
        <v>0</v>
      </c>
      <c r="BE167" s="130"/>
      <c r="BR167" s="129"/>
      <c r="BS167" s="19"/>
      <c r="BT167" s="19"/>
      <c r="BU167" s="19"/>
      <c r="BV167" s="19"/>
      <c r="BW167" s="19"/>
      <c r="BX167" s="19"/>
      <c r="BY167" s="19"/>
      <c r="BZ167" s="19"/>
      <c r="CA167" s="19"/>
      <c r="CB167" s="19"/>
      <c r="CC167" s="19"/>
      <c r="CD167" s="19"/>
      <c r="CE167" s="19"/>
      <c r="CF167" s="19"/>
      <c r="CG167" s="19"/>
      <c r="CH167" s="19"/>
      <c r="CI167" s="19"/>
      <c r="CJ167" s="19"/>
      <c r="CK167" s="19"/>
      <c r="CL167" s="19"/>
      <c r="CM167" s="19"/>
      <c r="CN167" s="19"/>
      <c r="CO167" s="19"/>
      <c r="CP167" s="19"/>
      <c r="CQ167" s="19"/>
      <c r="CR167" s="19"/>
      <c r="CS167" s="19"/>
      <c r="CT167" s="19"/>
      <c r="CU167" s="19"/>
      <c r="CV167" s="19"/>
      <c r="CW167" s="19"/>
      <c r="CX167" s="19"/>
      <c r="CY167" s="19"/>
      <c r="CZ167" s="19"/>
      <c r="DA167" s="19"/>
      <c r="DB167" s="19"/>
      <c r="DO167" s="1">
        <f t="shared" si="17"/>
        <v>0</v>
      </c>
      <c r="DP167" s="526"/>
    </row>
    <row r="168" spans="1:120" s="1" customFormat="1" ht="25.9" customHeight="1" x14ac:dyDescent="0.2">
      <c r="A168" s="6" t="s">
        <v>1215</v>
      </c>
      <c r="B168" s="33" t="s">
        <v>107</v>
      </c>
      <c r="C168" s="1" t="s">
        <v>1216</v>
      </c>
      <c r="D168" s="1" t="s">
        <v>1217</v>
      </c>
      <c r="E168" s="1" t="s">
        <v>752</v>
      </c>
      <c r="F168" s="33" t="s">
        <v>49</v>
      </c>
      <c r="G168" s="33" t="s">
        <v>315</v>
      </c>
      <c r="H168" s="1" t="s">
        <v>61</v>
      </c>
      <c r="I168" s="115">
        <v>43150</v>
      </c>
      <c r="J168" s="115">
        <v>43362</v>
      </c>
      <c r="K168" s="1">
        <v>420914.22</v>
      </c>
      <c r="L168" s="1">
        <v>420914.22000000003</v>
      </c>
      <c r="M168" s="1">
        <f t="shared" si="20"/>
        <v>0</v>
      </c>
      <c r="P168" s="1">
        <f t="shared" si="18"/>
        <v>0</v>
      </c>
      <c r="S168" s="1">
        <f t="shared" si="21"/>
        <v>0</v>
      </c>
      <c r="U168" s="1">
        <v>0</v>
      </c>
      <c r="X168" s="1" t="s">
        <v>517</v>
      </c>
      <c r="Y168" s="1" t="s">
        <v>53</v>
      </c>
      <c r="Z168" s="1">
        <v>0</v>
      </c>
      <c r="AA168" s="1" t="s">
        <v>53</v>
      </c>
      <c r="AB168" s="1" t="s">
        <v>53</v>
      </c>
      <c r="AC168" s="1" t="s">
        <v>53</v>
      </c>
      <c r="AD168" s="1" t="s">
        <v>54</v>
      </c>
      <c r="AE168" s="1" t="s">
        <v>70</v>
      </c>
      <c r="AR168" s="130">
        <f t="shared" si="19"/>
        <v>0</v>
      </c>
      <c r="BE168" s="130"/>
      <c r="BR168" s="129"/>
      <c r="BS168" s="19"/>
      <c r="BT168" s="19"/>
      <c r="BU168" s="19"/>
      <c r="BV168" s="19"/>
      <c r="BW168" s="19"/>
      <c r="BX168" s="19"/>
      <c r="BY168" s="19"/>
      <c r="BZ168" s="19"/>
      <c r="CA168" s="19"/>
      <c r="CB168" s="19"/>
      <c r="CC168" s="19"/>
      <c r="CD168" s="19"/>
      <c r="CE168" s="19"/>
      <c r="CF168" s="19"/>
      <c r="CG168" s="19"/>
      <c r="CH168" s="19"/>
      <c r="CI168" s="19"/>
      <c r="CJ168" s="19"/>
      <c r="CK168" s="19"/>
      <c r="CL168" s="19"/>
      <c r="CM168" s="19"/>
      <c r="CN168" s="19"/>
      <c r="CO168" s="19"/>
      <c r="CP168" s="19"/>
      <c r="CQ168" s="19"/>
      <c r="CR168" s="19"/>
      <c r="CS168" s="19"/>
      <c r="CT168" s="19"/>
      <c r="CU168" s="19"/>
      <c r="CV168" s="19"/>
      <c r="CW168" s="19"/>
      <c r="CX168" s="19"/>
      <c r="CY168" s="19"/>
      <c r="CZ168" s="19"/>
      <c r="DA168" s="19"/>
      <c r="DB168" s="19"/>
      <c r="DO168" s="1">
        <f t="shared" si="17"/>
        <v>0</v>
      </c>
      <c r="DP168" s="526"/>
    </row>
    <row r="169" spans="1:120" s="1" customFormat="1" ht="25.9" customHeight="1" x14ac:dyDescent="0.2">
      <c r="A169" s="6" t="s">
        <v>1218</v>
      </c>
      <c r="B169" s="33" t="s">
        <v>107</v>
      </c>
      <c r="C169" s="1" t="s">
        <v>1219</v>
      </c>
      <c r="D169" s="1" t="s">
        <v>1220</v>
      </c>
      <c r="E169" s="1" t="s">
        <v>1221</v>
      </c>
      <c r="F169" s="33" t="s">
        <v>49</v>
      </c>
      <c r="G169" s="33" t="s">
        <v>315</v>
      </c>
      <c r="H169" s="1" t="s">
        <v>51</v>
      </c>
      <c r="I169" s="115">
        <v>43140</v>
      </c>
      <c r="J169" s="115">
        <v>43229</v>
      </c>
      <c r="K169" s="1">
        <v>282606</v>
      </c>
      <c r="L169" s="1">
        <v>282606</v>
      </c>
      <c r="M169" s="1">
        <f t="shared" si="20"/>
        <v>0</v>
      </c>
      <c r="P169" s="1">
        <f t="shared" si="18"/>
        <v>0</v>
      </c>
      <c r="S169" s="1">
        <f t="shared" si="21"/>
        <v>0</v>
      </c>
      <c r="U169" s="1">
        <v>0</v>
      </c>
      <c r="X169" s="1" t="s">
        <v>517</v>
      </c>
      <c r="Y169" s="1" t="s">
        <v>53</v>
      </c>
      <c r="Z169" s="1">
        <v>0</v>
      </c>
      <c r="AA169" s="1" t="s">
        <v>53</v>
      </c>
      <c r="AB169" s="1" t="s">
        <v>53</v>
      </c>
      <c r="AC169" s="1" t="s">
        <v>53</v>
      </c>
      <c r="AD169" s="1" t="s">
        <v>54</v>
      </c>
      <c r="AE169" s="1" t="s">
        <v>70</v>
      </c>
      <c r="AR169" s="130">
        <f t="shared" ref="AR169:AR191" si="22">SUBTOTAL(9,AF169:AQ169)</f>
        <v>0</v>
      </c>
      <c r="BE169" s="130"/>
      <c r="BR169" s="129"/>
      <c r="BS169" s="19"/>
      <c r="BT169" s="19"/>
      <c r="BU169" s="19"/>
      <c r="BV169" s="19"/>
      <c r="BW169" s="19"/>
      <c r="BX169" s="19"/>
      <c r="BY169" s="19"/>
      <c r="BZ169" s="19"/>
      <c r="CA169" s="19"/>
      <c r="CB169" s="19"/>
      <c r="CC169" s="19"/>
      <c r="CD169" s="19"/>
      <c r="CE169" s="19"/>
      <c r="CF169" s="19"/>
      <c r="CG169" s="19"/>
      <c r="CH169" s="19"/>
      <c r="CI169" s="19"/>
      <c r="CJ169" s="19"/>
      <c r="CK169" s="19"/>
      <c r="CL169" s="19"/>
      <c r="CM169" s="19"/>
      <c r="CN169" s="19"/>
      <c r="CO169" s="19"/>
      <c r="CP169" s="19"/>
      <c r="CQ169" s="19"/>
      <c r="CR169" s="19"/>
      <c r="CS169" s="19"/>
      <c r="CT169" s="19"/>
      <c r="CU169" s="19"/>
      <c r="CV169" s="19"/>
      <c r="CW169" s="19"/>
      <c r="CX169" s="19"/>
      <c r="CY169" s="19"/>
      <c r="CZ169" s="19"/>
      <c r="DA169" s="19"/>
      <c r="DB169" s="19"/>
      <c r="DO169" s="1">
        <f t="shared" si="17"/>
        <v>0</v>
      </c>
      <c r="DP169" s="526"/>
    </row>
    <row r="170" spans="1:120" s="1" customFormat="1" ht="25.9" customHeight="1" x14ac:dyDescent="0.2">
      <c r="A170" s="6" t="s">
        <v>1222</v>
      </c>
      <c r="B170" s="33" t="s">
        <v>57</v>
      </c>
      <c r="C170" s="1" t="s">
        <v>1223</v>
      </c>
      <c r="D170" s="1" t="s">
        <v>567</v>
      </c>
      <c r="E170" s="1" t="s">
        <v>568</v>
      </c>
      <c r="F170" s="33" t="s">
        <v>49</v>
      </c>
      <c r="G170" s="33" t="s">
        <v>315</v>
      </c>
      <c r="H170" s="1" t="s">
        <v>363</v>
      </c>
      <c r="I170" s="115">
        <v>43150</v>
      </c>
      <c r="J170" s="115">
        <v>43515</v>
      </c>
      <c r="K170" s="1">
        <v>168000</v>
      </c>
      <c r="L170" s="1">
        <v>0</v>
      </c>
      <c r="M170" s="1">
        <f t="shared" si="20"/>
        <v>0</v>
      </c>
      <c r="P170" s="1">
        <f t="shared" si="18"/>
        <v>0</v>
      </c>
      <c r="S170" s="1">
        <f t="shared" si="21"/>
        <v>0</v>
      </c>
      <c r="U170" s="1">
        <v>168000</v>
      </c>
      <c r="X170" s="1" t="s">
        <v>517</v>
      </c>
      <c r="Y170" s="1" t="s">
        <v>53</v>
      </c>
      <c r="Z170" s="1">
        <v>0</v>
      </c>
      <c r="AA170" s="1" t="s">
        <v>53</v>
      </c>
      <c r="AB170" s="1" t="s">
        <v>53</v>
      </c>
      <c r="AC170" s="1" t="s">
        <v>53</v>
      </c>
      <c r="AD170" s="1" t="s">
        <v>54</v>
      </c>
      <c r="AE170" s="1" t="s">
        <v>1224</v>
      </c>
      <c r="AR170" s="130">
        <f t="shared" si="22"/>
        <v>0</v>
      </c>
      <c r="BE170" s="130"/>
      <c r="BR170" s="129"/>
      <c r="BS170" s="19"/>
      <c r="BT170" s="19"/>
      <c r="BU170" s="19"/>
      <c r="BV170" s="19"/>
      <c r="BW170" s="19"/>
      <c r="BX170" s="19"/>
      <c r="BY170" s="19"/>
      <c r="BZ170" s="19"/>
      <c r="CA170" s="19"/>
      <c r="CB170" s="19"/>
      <c r="CC170" s="19"/>
      <c r="CD170" s="19"/>
      <c r="CE170" s="19"/>
      <c r="CF170" s="19"/>
      <c r="CG170" s="19"/>
      <c r="CH170" s="19"/>
      <c r="CI170" s="19"/>
      <c r="CJ170" s="19"/>
      <c r="CK170" s="19"/>
      <c r="CL170" s="19"/>
      <c r="CM170" s="19"/>
      <c r="CN170" s="19"/>
      <c r="CO170" s="19"/>
      <c r="CP170" s="19"/>
      <c r="CQ170" s="19"/>
      <c r="CR170" s="19"/>
      <c r="CS170" s="19"/>
      <c r="CT170" s="19"/>
      <c r="CU170" s="19"/>
      <c r="CV170" s="19"/>
      <c r="CW170" s="19"/>
      <c r="CX170" s="19"/>
      <c r="CY170" s="19"/>
      <c r="CZ170" s="19"/>
      <c r="DA170" s="19"/>
      <c r="DB170" s="19"/>
      <c r="DO170" s="1">
        <f t="shared" si="17"/>
        <v>0</v>
      </c>
      <c r="DP170" s="526"/>
    </row>
    <row r="171" spans="1:120" s="1" customFormat="1" ht="25.9" customHeight="1" x14ac:dyDescent="0.2">
      <c r="A171" s="6" t="s">
        <v>1225</v>
      </c>
      <c r="B171" s="33" t="s">
        <v>57</v>
      </c>
      <c r="C171" s="118" t="s">
        <v>1226</v>
      </c>
      <c r="D171" s="1" t="s">
        <v>1227</v>
      </c>
      <c r="E171" s="1" t="s">
        <v>1228</v>
      </c>
      <c r="F171" s="33" t="s">
        <v>49</v>
      </c>
      <c r="G171" s="33" t="s">
        <v>315</v>
      </c>
      <c r="H171" s="1" t="s">
        <v>61</v>
      </c>
      <c r="I171" s="115">
        <v>43159</v>
      </c>
      <c r="J171" s="115">
        <v>43401</v>
      </c>
      <c r="K171" s="1">
        <v>9939314.6400000006</v>
      </c>
      <c r="L171" s="1">
        <v>9522151.0399999991</v>
      </c>
      <c r="M171" s="1">
        <f t="shared" si="20"/>
        <v>0</v>
      </c>
      <c r="P171" s="1">
        <f t="shared" si="18"/>
        <v>0</v>
      </c>
      <c r="S171" s="1">
        <f t="shared" si="21"/>
        <v>0</v>
      </c>
      <c r="U171" s="1">
        <v>417163.60000000149</v>
      </c>
      <c r="X171" s="1" t="s">
        <v>517</v>
      </c>
      <c r="Y171" s="1" t="s">
        <v>53</v>
      </c>
      <c r="Z171" s="1">
        <v>0</v>
      </c>
      <c r="AA171" s="1" t="s">
        <v>53</v>
      </c>
      <c r="AB171" s="1" t="s">
        <v>53</v>
      </c>
      <c r="AC171" s="1" t="s">
        <v>53</v>
      </c>
      <c r="AD171" s="1" t="s">
        <v>54</v>
      </c>
      <c r="AE171" s="1" t="s">
        <v>70</v>
      </c>
      <c r="AR171" s="130">
        <f t="shared" si="22"/>
        <v>0</v>
      </c>
      <c r="BE171" s="130"/>
      <c r="BR171" s="130"/>
      <c r="BS171" s="19"/>
      <c r="BT171" s="19"/>
      <c r="BU171" s="19"/>
      <c r="BV171" s="19"/>
      <c r="BW171" s="19"/>
      <c r="BX171" s="19"/>
      <c r="BY171" s="19"/>
      <c r="BZ171" s="19"/>
      <c r="CA171" s="19"/>
      <c r="CB171" s="19"/>
      <c r="CC171" s="19"/>
      <c r="CD171" s="19"/>
      <c r="CE171" s="19"/>
      <c r="CF171" s="19"/>
      <c r="CG171" s="19"/>
      <c r="CH171" s="19"/>
      <c r="CI171" s="19"/>
      <c r="CJ171" s="19"/>
      <c r="CK171" s="19"/>
      <c r="CL171" s="19"/>
      <c r="CM171" s="19"/>
      <c r="CN171" s="19"/>
      <c r="CO171" s="19"/>
      <c r="CP171" s="19"/>
      <c r="CQ171" s="19"/>
      <c r="CR171" s="19"/>
      <c r="CS171" s="19"/>
      <c r="CT171" s="19"/>
      <c r="CU171" s="19"/>
      <c r="CV171" s="19"/>
      <c r="CW171" s="19"/>
      <c r="CX171" s="19"/>
      <c r="CY171" s="19"/>
      <c r="CZ171" s="19"/>
      <c r="DA171" s="19"/>
      <c r="DB171" s="19"/>
      <c r="DO171" s="1">
        <f t="shared" si="17"/>
        <v>0</v>
      </c>
      <c r="DP171" s="526"/>
    </row>
    <row r="172" spans="1:120" s="1" customFormat="1" ht="25.9" customHeight="1" x14ac:dyDescent="0.2">
      <c r="A172" s="6" t="s">
        <v>1229</v>
      </c>
      <c r="B172" s="33" t="s">
        <v>107</v>
      </c>
      <c r="C172" s="1" t="s">
        <v>1230</v>
      </c>
      <c r="D172" s="1" t="s">
        <v>1231</v>
      </c>
      <c r="E172" s="1" t="s">
        <v>1232</v>
      </c>
      <c r="F172" s="33" t="s">
        <v>49</v>
      </c>
      <c r="G172" s="33" t="s">
        <v>315</v>
      </c>
      <c r="H172" s="1" t="s">
        <v>51</v>
      </c>
      <c r="I172" s="115">
        <v>43159</v>
      </c>
      <c r="J172" s="115">
        <v>43371</v>
      </c>
      <c r="K172" s="1">
        <v>203544</v>
      </c>
      <c r="L172" s="1">
        <v>203544</v>
      </c>
      <c r="M172" s="1">
        <f t="shared" si="20"/>
        <v>0</v>
      </c>
      <c r="P172" s="1">
        <f t="shared" si="18"/>
        <v>0</v>
      </c>
      <c r="S172" s="1">
        <f t="shared" si="21"/>
        <v>0</v>
      </c>
      <c r="U172" s="1">
        <v>0</v>
      </c>
      <c r="X172" s="1" t="s">
        <v>517</v>
      </c>
      <c r="Y172" s="1" t="s">
        <v>53</v>
      </c>
      <c r="Z172" s="1">
        <v>0</v>
      </c>
      <c r="AA172" s="1" t="s">
        <v>53</v>
      </c>
      <c r="AB172" s="1" t="s">
        <v>53</v>
      </c>
      <c r="AC172" s="1" t="s">
        <v>53</v>
      </c>
      <c r="AD172" s="1" t="s">
        <v>54</v>
      </c>
      <c r="AE172" s="1" t="s">
        <v>70</v>
      </c>
      <c r="AR172" s="130">
        <f t="shared" si="22"/>
        <v>0</v>
      </c>
      <c r="BE172" s="130"/>
      <c r="BR172" s="129"/>
      <c r="BS172" s="19"/>
      <c r="BT172" s="19"/>
      <c r="BU172" s="19"/>
      <c r="BV172" s="19"/>
      <c r="BW172" s="19"/>
      <c r="BX172" s="19"/>
      <c r="BY172" s="19"/>
      <c r="BZ172" s="19"/>
      <c r="CA172" s="19"/>
      <c r="CB172" s="19"/>
      <c r="CC172" s="19"/>
      <c r="CD172" s="19"/>
      <c r="CE172" s="19"/>
      <c r="CF172" s="19"/>
      <c r="CG172" s="19"/>
      <c r="CH172" s="19"/>
      <c r="CI172" s="19"/>
      <c r="CJ172" s="19"/>
      <c r="CK172" s="19"/>
      <c r="CL172" s="19"/>
      <c r="CM172" s="19"/>
      <c r="CN172" s="19"/>
      <c r="CO172" s="19"/>
      <c r="CP172" s="19"/>
      <c r="CQ172" s="19"/>
      <c r="CR172" s="19"/>
      <c r="CS172" s="19"/>
      <c r="CT172" s="19"/>
      <c r="CU172" s="19"/>
      <c r="CV172" s="19"/>
      <c r="CW172" s="19"/>
      <c r="CX172" s="19"/>
      <c r="CY172" s="19"/>
      <c r="CZ172" s="19"/>
      <c r="DA172" s="19"/>
      <c r="DB172" s="19"/>
      <c r="DO172" s="1">
        <f t="shared" si="17"/>
        <v>0</v>
      </c>
      <c r="DP172" s="526"/>
    </row>
    <row r="173" spans="1:120" s="1" customFormat="1" ht="25.9" customHeight="1" x14ac:dyDescent="0.2">
      <c r="A173" s="6" t="s">
        <v>1233</v>
      </c>
      <c r="B173" s="33" t="s">
        <v>107</v>
      </c>
      <c r="C173" s="1" t="s">
        <v>1234</v>
      </c>
      <c r="D173" s="1" t="s">
        <v>1235</v>
      </c>
      <c r="E173" s="1" t="s">
        <v>1236</v>
      </c>
      <c r="F173" s="33" t="s">
        <v>49</v>
      </c>
      <c r="G173" s="33" t="s">
        <v>315</v>
      </c>
      <c r="H173" s="1" t="s">
        <v>61</v>
      </c>
      <c r="I173" s="115">
        <v>43159</v>
      </c>
      <c r="J173" s="115">
        <v>43401</v>
      </c>
      <c r="K173" s="1">
        <v>4878493.95</v>
      </c>
      <c r="L173" s="1">
        <v>4381160.3800000008</v>
      </c>
      <c r="M173" s="1">
        <f t="shared" si="20"/>
        <v>0</v>
      </c>
      <c r="P173" s="1">
        <f t="shared" si="18"/>
        <v>0</v>
      </c>
      <c r="S173" s="1">
        <f t="shared" si="21"/>
        <v>0</v>
      </c>
      <c r="U173" s="1">
        <v>497333.56999999937</v>
      </c>
      <c r="X173" s="1" t="s">
        <v>517</v>
      </c>
      <c r="Y173" s="1" t="s">
        <v>53</v>
      </c>
      <c r="Z173" s="1">
        <v>0</v>
      </c>
      <c r="AA173" s="1" t="s">
        <v>53</v>
      </c>
      <c r="AB173" s="1" t="s">
        <v>53</v>
      </c>
      <c r="AC173" s="1" t="s">
        <v>53</v>
      </c>
      <c r="AD173" s="1" t="s">
        <v>54</v>
      </c>
      <c r="AE173" s="1" t="s">
        <v>70</v>
      </c>
      <c r="AR173" s="130">
        <f t="shared" si="22"/>
        <v>0</v>
      </c>
      <c r="BE173" s="130"/>
      <c r="BR173" s="129"/>
      <c r="BS173" s="19"/>
      <c r="BT173" s="19"/>
      <c r="BU173" s="19"/>
      <c r="BV173" s="19"/>
      <c r="BW173" s="19"/>
      <c r="BX173" s="19"/>
      <c r="BY173" s="19"/>
      <c r="BZ173" s="19"/>
      <c r="CA173" s="19"/>
      <c r="CB173" s="19"/>
      <c r="CC173" s="19"/>
      <c r="CD173" s="19"/>
      <c r="CE173" s="19"/>
      <c r="CF173" s="19"/>
      <c r="CG173" s="19"/>
      <c r="CH173" s="19"/>
      <c r="CI173" s="19"/>
      <c r="CJ173" s="19"/>
      <c r="CK173" s="19"/>
      <c r="CL173" s="19"/>
      <c r="CM173" s="19"/>
      <c r="CN173" s="19"/>
      <c r="CO173" s="19"/>
      <c r="CP173" s="19"/>
      <c r="CQ173" s="19"/>
      <c r="CR173" s="19"/>
      <c r="CS173" s="19"/>
      <c r="CT173" s="19"/>
      <c r="CU173" s="19"/>
      <c r="CV173" s="19"/>
      <c r="CW173" s="19"/>
      <c r="CX173" s="19"/>
      <c r="CY173" s="19"/>
      <c r="CZ173" s="19"/>
      <c r="DA173" s="19"/>
      <c r="DB173" s="19"/>
      <c r="DO173" s="1">
        <f t="shared" si="17"/>
        <v>0</v>
      </c>
      <c r="DP173" s="526"/>
    </row>
    <row r="174" spans="1:120" s="1" customFormat="1" ht="25.9" customHeight="1" x14ac:dyDescent="0.2">
      <c r="A174" s="6" t="s">
        <v>1237</v>
      </c>
      <c r="B174" s="33" t="s">
        <v>107</v>
      </c>
      <c r="C174" s="1" t="s">
        <v>1238</v>
      </c>
      <c r="D174" s="1" t="s">
        <v>1239</v>
      </c>
      <c r="E174" s="1" t="s">
        <v>1240</v>
      </c>
      <c r="F174" s="33" t="s">
        <v>49</v>
      </c>
      <c r="G174" s="33" t="s">
        <v>315</v>
      </c>
      <c r="H174" s="1" t="s">
        <v>61</v>
      </c>
      <c r="I174" s="115">
        <v>43159</v>
      </c>
      <c r="J174" s="115">
        <v>43401</v>
      </c>
      <c r="K174" s="1">
        <v>2252400.89</v>
      </c>
      <c r="L174" s="1">
        <v>2259740.0299999998</v>
      </c>
      <c r="M174" s="1">
        <f t="shared" si="20"/>
        <v>0</v>
      </c>
      <c r="P174" s="1">
        <f t="shared" si="18"/>
        <v>0</v>
      </c>
      <c r="S174" s="1">
        <f t="shared" si="21"/>
        <v>0</v>
      </c>
      <c r="U174" s="1">
        <v>-7339.1399999996647</v>
      </c>
      <c r="X174" s="1" t="s">
        <v>517</v>
      </c>
      <c r="Y174" s="1" t="s">
        <v>53</v>
      </c>
      <c r="Z174" s="1">
        <v>0</v>
      </c>
      <c r="AA174" s="1" t="s">
        <v>53</v>
      </c>
      <c r="AB174" s="1" t="s">
        <v>53</v>
      </c>
      <c r="AC174" s="1" t="s">
        <v>53</v>
      </c>
      <c r="AD174" s="1" t="s">
        <v>54</v>
      </c>
      <c r="AE174" s="1" t="s">
        <v>70</v>
      </c>
      <c r="AR174" s="130">
        <f t="shared" si="22"/>
        <v>0</v>
      </c>
      <c r="BE174" s="130"/>
      <c r="BR174" s="129"/>
      <c r="BS174" s="19"/>
      <c r="BT174" s="19"/>
      <c r="BU174" s="19"/>
      <c r="BV174" s="19"/>
      <c r="BW174" s="19"/>
      <c r="BX174" s="19"/>
      <c r="BY174" s="19"/>
      <c r="BZ174" s="19"/>
      <c r="CA174" s="19"/>
      <c r="CB174" s="19"/>
      <c r="CC174" s="19"/>
      <c r="CD174" s="19"/>
      <c r="CE174" s="19"/>
      <c r="CF174" s="19"/>
      <c r="CG174" s="19"/>
      <c r="CH174" s="19"/>
      <c r="CI174" s="19"/>
      <c r="CJ174" s="19"/>
      <c r="CK174" s="19"/>
      <c r="CL174" s="19"/>
      <c r="CM174" s="19"/>
      <c r="CN174" s="19"/>
      <c r="CO174" s="19"/>
      <c r="CP174" s="19"/>
      <c r="CQ174" s="19"/>
      <c r="CR174" s="19"/>
      <c r="CS174" s="19"/>
      <c r="CT174" s="19"/>
      <c r="CU174" s="19"/>
      <c r="CV174" s="19"/>
      <c r="CW174" s="19"/>
      <c r="CX174" s="19"/>
      <c r="CY174" s="19"/>
      <c r="CZ174" s="19"/>
      <c r="DA174" s="19"/>
      <c r="DB174" s="19"/>
      <c r="DO174" s="1">
        <f t="shared" si="17"/>
        <v>0</v>
      </c>
      <c r="DP174" s="526"/>
    </row>
    <row r="175" spans="1:120" s="1" customFormat="1" ht="25.9" customHeight="1" x14ac:dyDescent="0.2">
      <c r="A175" s="6" t="s">
        <v>1241</v>
      </c>
      <c r="B175" s="33" t="s">
        <v>107</v>
      </c>
      <c r="C175" s="1" t="s">
        <v>1242</v>
      </c>
      <c r="D175" s="1" t="s">
        <v>653</v>
      </c>
      <c r="E175" s="1" t="s">
        <v>60</v>
      </c>
      <c r="F175" s="33" t="s">
        <v>49</v>
      </c>
      <c r="G175" s="33" t="s">
        <v>315</v>
      </c>
      <c r="H175" s="1" t="s">
        <v>51</v>
      </c>
      <c r="I175" s="115">
        <v>43159</v>
      </c>
      <c r="J175" s="115">
        <v>43401</v>
      </c>
      <c r="K175" s="1">
        <v>1179054.1200000001</v>
      </c>
      <c r="L175" s="1">
        <v>747799.88</v>
      </c>
      <c r="M175" s="1">
        <f t="shared" si="20"/>
        <v>0</v>
      </c>
      <c r="P175" s="1">
        <f t="shared" si="18"/>
        <v>0</v>
      </c>
      <c r="S175" s="1">
        <f t="shared" si="21"/>
        <v>0</v>
      </c>
      <c r="U175" s="1">
        <v>431254.24000000011</v>
      </c>
      <c r="X175" s="1" t="s">
        <v>52</v>
      </c>
      <c r="Y175" s="1" t="s">
        <v>53</v>
      </c>
      <c r="Z175" s="1">
        <v>0</v>
      </c>
      <c r="AA175" s="1" t="s">
        <v>53</v>
      </c>
      <c r="AB175" s="1" t="s">
        <v>53</v>
      </c>
      <c r="AC175" s="1" t="s">
        <v>53</v>
      </c>
      <c r="AD175" s="1" t="s">
        <v>54</v>
      </c>
      <c r="AE175" s="1" t="s">
        <v>70</v>
      </c>
      <c r="AR175" s="130">
        <f t="shared" si="22"/>
        <v>0</v>
      </c>
      <c r="BE175" s="130"/>
      <c r="BR175" s="129"/>
      <c r="BS175" s="19"/>
      <c r="BT175" s="19"/>
      <c r="BU175" s="19"/>
      <c r="BV175" s="19"/>
      <c r="BW175" s="19"/>
      <c r="BX175" s="19"/>
      <c r="BY175" s="19"/>
      <c r="BZ175" s="19"/>
      <c r="CA175" s="19"/>
      <c r="CB175" s="19"/>
      <c r="CC175" s="19"/>
      <c r="CD175" s="19"/>
      <c r="CE175" s="19"/>
      <c r="CF175" s="19"/>
      <c r="CG175" s="19"/>
      <c r="CH175" s="19"/>
      <c r="CI175" s="19"/>
      <c r="CJ175" s="19"/>
      <c r="CK175" s="19"/>
      <c r="CL175" s="19"/>
      <c r="CM175" s="19"/>
      <c r="CN175" s="19"/>
      <c r="CO175" s="19"/>
      <c r="CP175" s="19"/>
      <c r="CQ175" s="19"/>
      <c r="CR175" s="19"/>
      <c r="CS175" s="19"/>
      <c r="CT175" s="19"/>
      <c r="CU175" s="19"/>
      <c r="CV175" s="19"/>
      <c r="CW175" s="19"/>
      <c r="CX175" s="19"/>
      <c r="CY175" s="19"/>
      <c r="CZ175" s="19"/>
      <c r="DA175" s="19"/>
      <c r="DB175" s="19"/>
      <c r="DO175" s="1">
        <f t="shared" si="17"/>
        <v>0</v>
      </c>
      <c r="DP175" s="526"/>
    </row>
    <row r="176" spans="1:120" s="1" customFormat="1" ht="25.9" customHeight="1" x14ac:dyDescent="0.2">
      <c r="A176" s="6" t="s">
        <v>1243</v>
      </c>
      <c r="B176" s="33" t="s">
        <v>107</v>
      </c>
      <c r="C176" s="57" t="s">
        <v>1244</v>
      </c>
      <c r="D176" s="1" t="s">
        <v>1245</v>
      </c>
      <c r="E176" s="1" t="s">
        <v>146</v>
      </c>
      <c r="F176" s="33" t="s">
        <v>49</v>
      </c>
      <c r="G176" s="33" t="s">
        <v>315</v>
      </c>
      <c r="H176" s="1" t="s">
        <v>61</v>
      </c>
      <c r="I176" s="115">
        <v>43255</v>
      </c>
      <c r="J176" s="115">
        <v>43408</v>
      </c>
      <c r="K176" s="57">
        <v>2919673.48</v>
      </c>
      <c r="L176" s="1">
        <v>2671204.4699999997</v>
      </c>
      <c r="M176" s="1">
        <f t="shared" si="20"/>
        <v>0</v>
      </c>
      <c r="P176" s="1">
        <f t="shared" si="18"/>
        <v>0</v>
      </c>
      <c r="S176" s="1">
        <f t="shared" si="21"/>
        <v>0</v>
      </c>
      <c r="U176" s="1">
        <v>248469.01000000024</v>
      </c>
      <c r="X176" s="1" t="s">
        <v>517</v>
      </c>
      <c r="Y176" s="1" t="s">
        <v>53</v>
      </c>
      <c r="Z176" s="1">
        <v>0</v>
      </c>
      <c r="AA176" s="1" t="s">
        <v>53</v>
      </c>
      <c r="AB176" s="1" t="s">
        <v>53</v>
      </c>
      <c r="AC176" s="1" t="s">
        <v>53</v>
      </c>
      <c r="AD176" s="1" t="s">
        <v>54</v>
      </c>
      <c r="AE176" s="1" t="s">
        <v>70</v>
      </c>
      <c r="AR176" s="130">
        <f t="shared" si="22"/>
        <v>0</v>
      </c>
      <c r="BE176" s="130"/>
      <c r="BR176" s="130"/>
      <c r="BS176" s="19"/>
      <c r="BT176" s="19"/>
      <c r="BU176" s="19"/>
      <c r="BV176" s="19"/>
      <c r="BW176" s="19"/>
      <c r="BX176" s="19"/>
      <c r="BY176" s="19"/>
      <c r="BZ176" s="19"/>
      <c r="CA176" s="19"/>
      <c r="CB176" s="19"/>
      <c r="CC176" s="19"/>
      <c r="CD176" s="19"/>
      <c r="CE176" s="19"/>
      <c r="CF176" s="19"/>
      <c r="CG176" s="19"/>
      <c r="CH176" s="19"/>
      <c r="CI176" s="19"/>
      <c r="CJ176" s="19"/>
      <c r="CK176" s="19"/>
      <c r="CL176" s="19"/>
      <c r="CM176" s="19"/>
      <c r="CN176" s="19"/>
      <c r="CO176" s="19"/>
      <c r="CP176" s="19"/>
      <c r="CQ176" s="19"/>
      <c r="CR176" s="19"/>
      <c r="CS176" s="19"/>
      <c r="CT176" s="19"/>
      <c r="CU176" s="19"/>
      <c r="CV176" s="19"/>
      <c r="CW176" s="19"/>
      <c r="CX176" s="19"/>
      <c r="CY176" s="19"/>
      <c r="CZ176" s="19"/>
      <c r="DA176" s="19"/>
      <c r="DB176" s="19"/>
      <c r="DO176" s="1">
        <f t="shared" si="17"/>
        <v>0</v>
      </c>
      <c r="DP176" s="526"/>
    </row>
    <row r="177" spans="1:120" s="1" customFormat="1" ht="25.9" customHeight="1" x14ac:dyDescent="0.2">
      <c r="A177" s="6" t="s">
        <v>1246</v>
      </c>
      <c r="B177" s="33" t="s">
        <v>107</v>
      </c>
      <c r="C177" s="118" t="s">
        <v>1247</v>
      </c>
      <c r="D177" s="1" t="s">
        <v>1248</v>
      </c>
      <c r="E177" s="1" t="s">
        <v>1249</v>
      </c>
      <c r="F177" s="33" t="s">
        <v>49</v>
      </c>
      <c r="G177" s="33" t="s">
        <v>315</v>
      </c>
      <c r="H177" s="1" t="s">
        <v>61</v>
      </c>
      <c r="I177" s="115">
        <v>43255</v>
      </c>
      <c r="J177" s="115">
        <v>43408</v>
      </c>
      <c r="K177" s="1">
        <v>2816610.7</v>
      </c>
      <c r="L177" s="1">
        <v>1545017.8100000003</v>
      </c>
      <c r="M177" s="1">
        <f t="shared" si="20"/>
        <v>0</v>
      </c>
      <c r="P177" s="1">
        <f t="shared" si="18"/>
        <v>0</v>
      </c>
      <c r="S177" s="1">
        <f t="shared" si="21"/>
        <v>0</v>
      </c>
      <c r="U177" s="1">
        <v>1271592.8899999999</v>
      </c>
      <c r="X177" s="1" t="s">
        <v>52</v>
      </c>
      <c r="Y177" s="1" t="s">
        <v>53</v>
      </c>
      <c r="Z177" s="1">
        <v>0</v>
      </c>
      <c r="AA177" s="1" t="s">
        <v>53</v>
      </c>
      <c r="AB177" s="1" t="s">
        <v>53</v>
      </c>
      <c r="AC177" s="1" t="s">
        <v>53</v>
      </c>
      <c r="AD177" s="1" t="s">
        <v>54</v>
      </c>
      <c r="AE177" s="1" t="s">
        <v>1250</v>
      </c>
      <c r="AR177" s="130">
        <f t="shared" si="22"/>
        <v>0</v>
      </c>
      <c r="BE177" s="130"/>
      <c r="BR177" s="130"/>
      <c r="BS177" s="19"/>
      <c r="BT177" s="19"/>
      <c r="BU177" s="19"/>
      <c r="BV177" s="19"/>
      <c r="BW177" s="19"/>
      <c r="BX177" s="19"/>
      <c r="BY177" s="19"/>
      <c r="BZ177" s="19"/>
      <c r="CA177" s="19"/>
      <c r="CB177" s="19"/>
      <c r="CC177" s="19"/>
      <c r="CD177" s="19"/>
      <c r="CE177" s="19"/>
      <c r="CF177" s="19"/>
      <c r="CG177" s="19"/>
      <c r="CH177" s="19"/>
      <c r="CI177" s="19"/>
      <c r="CJ177" s="19"/>
      <c r="CK177" s="19"/>
      <c r="CL177" s="19"/>
      <c r="CM177" s="19"/>
      <c r="CN177" s="19"/>
      <c r="CO177" s="19"/>
      <c r="CP177" s="19"/>
      <c r="CQ177" s="19"/>
      <c r="CR177" s="19"/>
      <c r="CS177" s="19"/>
      <c r="CT177" s="19"/>
      <c r="CU177" s="19"/>
      <c r="CV177" s="19"/>
      <c r="CW177" s="19"/>
      <c r="CX177" s="19"/>
      <c r="CY177" s="19"/>
      <c r="CZ177" s="19"/>
      <c r="DA177" s="19"/>
      <c r="DB177" s="19"/>
      <c r="DO177" s="1">
        <f t="shared" si="17"/>
        <v>0</v>
      </c>
      <c r="DP177" s="526"/>
    </row>
    <row r="178" spans="1:120" s="1" customFormat="1" ht="25.9" customHeight="1" x14ac:dyDescent="0.2">
      <c r="A178" s="6" t="s">
        <v>1251</v>
      </c>
      <c r="B178" s="33" t="s">
        <v>107</v>
      </c>
      <c r="C178" s="1" t="s">
        <v>1252</v>
      </c>
      <c r="D178" s="1" t="s">
        <v>1253</v>
      </c>
      <c r="E178" s="1" t="s">
        <v>1254</v>
      </c>
      <c r="F178" s="33" t="s">
        <v>49</v>
      </c>
      <c r="G178" s="33" t="s">
        <v>315</v>
      </c>
      <c r="H178" s="1" t="s">
        <v>1255</v>
      </c>
      <c r="I178" s="115">
        <v>43255</v>
      </c>
      <c r="J178" s="115">
        <v>43620</v>
      </c>
      <c r="K178" s="1" t="s">
        <v>583</v>
      </c>
      <c r="L178" s="1">
        <v>783609.05</v>
      </c>
      <c r="M178" s="1">
        <f t="shared" si="20"/>
        <v>0</v>
      </c>
      <c r="P178" s="1">
        <f t="shared" si="18"/>
        <v>0</v>
      </c>
      <c r="S178" s="1">
        <f t="shared" si="21"/>
        <v>0</v>
      </c>
      <c r="X178" s="1" t="s">
        <v>52</v>
      </c>
      <c r="Y178" s="1" t="s">
        <v>53</v>
      </c>
      <c r="Z178" s="1">
        <v>0</v>
      </c>
      <c r="AA178" s="1" t="s">
        <v>53</v>
      </c>
      <c r="AB178" s="1" t="s">
        <v>53</v>
      </c>
      <c r="AC178" s="1" t="s">
        <v>53</v>
      </c>
      <c r="AD178" s="1" t="s">
        <v>54</v>
      </c>
      <c r="AE178" s="1" t="s">
        <v>70</v>
      </c>
      <c r="AR178" s="130">
        <f t="shared" si="22"/>
        <v>0</v>
      </c>
      <c r="BE178" s="130"/>
      <c r="BR178" s="129"/>
      <c r="BS178" s="19"/>
      <c r="BT178" s="19"/>
      <c r="BU178" s="19"/>
      <c r="BV178" s="19"/>
      <c r="BW178" s="19"/>
      <c r="BX178" s="19"/>
      <c r="BY178" s="19"/>
      <c r="BZ178" s="19"/>
      <c r="CA178" s="19"/>
      <c r="CB178" s="19"/>
      <c r="CC178" s="19"/>
      <c r="CD178" s="19"/>
      <c r="CE178" s="19"/>
      <c r="CF178" s="19"/>
      <c r="CG178" s="19"/>
      <c r="CH178" s="19"/>
      <c r="CI178" s="19"/>
      <c r="CJ178" s="19"/>
      <c r="CK178" s="19"/>
      <c r="CL178" s="19"/>
      <c r="CM178" s="19"/>
      <c r="CN178" s="19"/>
      <c r="CO178" s="19"/>
      <c r="CP178" s="19"/>
      <c r="CQ178" s="19"/>
      <c r="CR178" s="19"/>
      <c r="CS178" s="19"/>
      <c r="CT178" s="19"/>
      <c r="CU178" s="19"/>
      <c r="CV178" s="19"/>
      <c r="CW178" s="19"/>
      <c r="CX178" s="19"/>
      <c r="CY178" s="19"/>
      <c r="CZ178" s="19"/>
      <c r="DA178" s="19"/>
      <c r="DB178" s="19"/>
      <c r="DO178" s="1">
        <f t="shared" si="17"/>
        <v>0</v>
      </c>
      <c r="DP178" s="526"/>
    </row>
    <row r="179" spans="1:120" s="1" customFormat="1" ht="25.9" customHeight="1" x14ac:dyDescent="0.2">
      <c r="A179" s="6" t="s">
        <v>1256</v>
      </c>
      <c r="B179" s="33" t="s">
        <v>107</v>
      </c>
      <c r="C179" s="1" t="s">
        <v>1153</v>
      </c>
      <c r="D179" s="1" t="s">
        <v>1257</v>
      </c>
      <c r="E179" s="1" t="s">
        <v>1258</v>
      </c>
      <c r="F179" s="33" t="s">
        <v>49</v>
      </c>
      <c r="G179" s="33" t="s">
        <v>315</v>
      </c>
      <c r="H179" s="1" t="s">
        <v>61</v>
      </c>
      <c r="I179" s="115">
        <v>43371</v>
      </c>
      <c r="J179" s="115">
        <v>43493</v>
      </c>
      <c r="K179" s="1">
        <v>1119847</v>
      </c>
      <c r="L179" s="1">
        <v>1119847</v>
      </c>
      <c r="M179" s="1">
        <f t="shared" si="20"/>
        <v>0</v>
      </c>
      <c r="P179" s="1">
        <f t="shared" si="18"/>
        <v>0</v>
      </c>
      <c r="S179" s="1">
        <f t="shared" si="21"/>
        <v>0</v>
      </c>
      <c r="U179" s="1">
        <v>0</v>
      </c>
      <c r="X179" s="1" t="s">
        <v>52</v>
      </c>
      <c r="Y179" s="1" t="s">
        <v>53</v>
      </c>
      <c r="Z179" s="1">
        <v>0</v>
      </c>
      <c r="AA179" s="1" t="s">
        <v>53</v>
      </c>
      <c r="AB179" s="1" t="s">
        <v>53</v>
      </c>
      <c r="AC179" s="1" t="s">
        <v>53</v>
      </c>
      <c r="AD179" s="1" t="s">
        <v>54</v>
      </c>
      <c r="AE179" s="1" t="s">
        <v>70</v>
      </c>
      <c r="AR179" s="130">
        <f t="shared" si="22"/>
        <v>0</v>
      </c>
      <c r="BE179" s="130"/>
      <c r="BR179" s="129"/>
      <c r="BS179" s="19"/>
      <c r="BT179" s="19"/>
      <c r="BU179" s="19"/>
      <c r="BV179" s="19"/>
      <c r="BW179" s="19"/>
      <c r="BX179" s="19"/>
      <c r="BY179" s="19"/>
      <c r="BZ179" s="19"/>
      <c r="CA179" s="19"/>
      <c r="CB179" s="19"/>
      <c r="CC179" s="19"/>
      <c r="CD179" s="19"/>
      <c r="CE179" s="19"/>
      <c r="CF179" s="19"/>
      <c r="CG179" s="19"/>
      <c r="CH179" s="19"/>
      <c r="CI179" s="19"/>
      <c r="CJ179" s="19"/>
      <c r="CK179" s="19"/>
      <c r="CL179" s="19"/>
      <c r="CM179" s="19"/>
      <c r="CN179" s="19"/>
      <c r="CO179" s="19"/>
      <c r="CP179" s="19"/>
      <c r="CQ179" s="19"/>
      <c r="CR179" s="19"/>
      <c r="CS179" s="19"/>
      <c r="CT179" s="19"/>
      <c r="CU179" s="19"/>
      <c r="CV179" s="19"/>
      <c r="CW179" s="19"/>
      <c r="CX179" s="19"/>
      <c r="CY179" s="19"/>
      <c r="CZ179" s="19"/>
      <c r="DA179" s="19"/>
      <c r="DB179" s="19"/>
      <c r="DO179" s="1">
        <f t="shared" si="17"/>
        <v>0</v>
      </c>
      <c r="DP179" s="526"/>
    </row>
    <row r="180" spans="1:120" s="1" customFormat="1" ht="25.9" customHeight="1" x14ac:dyDescent="0.2">
      <c r="A180" s="6" t="s">
        <v>1259</v>
      </c>
      <c r="B180" s="33" t="s">
        <v>107</v>
      </c>
      <c r="C180" s="118" t="s">
        <v>1260</v>
      </c>
      <c r="D180" s="120" t="s">
        <v>76</v>
      </c>
      <c r="E180" s="1" t="s">
        <v>77</v>
      </c>
      <c r="F180" s="33" t="s">
        <v>49</v>
      </c>
      <c r="G180" s="33" t="s">
        <v>315</v>
      </c>
      <c r="H180" s="1" t="s">
        <v>61</v>
      </c>
      <c r="I180" s="115">
        <v>43361</v>
      </c>
      <c r="J180" s="115">
        <v>43634</v>
      </c>
      <c r="K180" s="1">
        <v>3996676.42</v>
      </c>
      <c r="L180" s="1">
        <v>4996913.1800000006</v>
      </c>
      <c r="M180" s="1">
        <f t="shared" si="20"/>
        <v>738931.44</v>
      </c>
      <c r="P180" s="1" t="e">
        <f>#REF!</f>
        <v>#REF!</v>
      </c>
      <c r="S180" s="1">
        <f t="shared" si="21"/>
        <v>0</v>
      </c>
      <c r="U180" s="1">
        <v>-1000236.7600000007</v>
      </c>
      <c r="X180" s="1" t="s">
        <v>52</v>
      </c>
      <c r="Y180" s="1">
        <v>0</v>
      </c>
      <c r="Z180" s="1">
        <v>0</v>
      </c>
      <c r="AA180" s="1" t="s">
        <v>1261</v>
      </c>
      <c r="AB180" s="1" t="s">
        <v>53</v>
      </c>
      <c r="AC180" s="1" t="s">
        <v>53</v>
      </c>
      <c r="AD180" s="1" t="s">
        <v>54</v>
      </c>
      <c r="AE180" s="1" t="s">
        <v>70</v>
      </c>
      <c r="AF180" s="1">
        <v>199386</v>
      </c>
      <c r="AI180" s="1">
        <v>539545.43999999994</v>
      </c>
      <c r="AR180" s="130">
        <f t="shared" si="22"/>
        <v>738931.44</v>
      </c>
      <c r="BE180" s="130"/>
      <c r="BR180" s="130"/>
      <c r="BS180" s="19"/>
      <c r="BT180" s="19"/>
      <c r="BU180" s="19"/>
      <c r="BV180" s="19"/>
      <c r="BW180" s="19"/>
      <c r="BX180" s="19"/>
      <c r="BY180" s="19"/>
      <c r="BZ180" s="19"/>
      <c r="CA180" s="19"/>
      <c r="CB180" s="19"/>
      <c r="CC180" s="19"/>
      <c r="CD180" s="19"/>
      <c r="CE180" s="19"/>
      <c r="CF180" s="19"/>
      <c r="CG180" s="19"/>
      <c r="CH180" s="19"/>
      <c r="CI180" s="19"/>
      <c r="CJ180" s="19"/>
      <c r="CK180" s="19"/>
      <c r="CL180" s="19"/>
      <c r="CM180" s="19"/>
      <c r="CN180" s="19"/>
      <c r="CO180" s="19"/>
      <c r="CP180" s="19"/>
      <c r="CQ180" s="19"/>
      <c r="CR180" s="19"/>
      <c r="CS180" s="19"/>
      <c r="CT180" s="19"/>
      <c r="CU180" s="19"/>
      <c r="CV180" s="19"/>
      <c r="CW180" s="19"/>
      <c r="CX180" s="19"/>
      <c r="CY180" s="19"/>
      <c r="CZ180" s="19"/>
      <c r="DA180" s="19"/>
      <c r="DB180" s="19"/>
      <c r="DO180" s="1">
        <f t="shared" si="17"/>
        <v>0</v>
      </c>
      <c r="DP180" s="526"/>
    </row>
    <row r="181" spans="1:120" s="1" customFormat="1" ht="25.9" customHeight="1" x14ac:dyDescent="0.2">
      <c r="A181" s="4" t="s">
        <v>1262</v>
      </c>
      <c r="B181" s="1" t="s">
        <v>107</v>
      </c>
      <c r="C181" s="1" t="s">
        <v>1263</v>
      </c>
      <c r="D181" s="1" t="s">
        <v>1264</v>
      </c>
      <c r="E181" s="1" t="s">
        <v>1078</v>
      </c>
      <c r="F181" s="33" t="s">
        <v>49</v>
      </c>
      <c r="G181" s="1" t="s">
        <v>328</v>
      </c>
      <c r="H181" s="33" t="s">
        <v>51</v>
      </c>
      <c r="I181" s="115">
        <v>43571</v>
      </c>
      <c r="J181" s="115">
        <v>43724</v>
      </c>
      <c r="K181" s="1">
        <v>490176.45</v>
      </c>
      <c r="L181" s="1">
        <v>325545.45</v>
      </c>
      <c r="M181" s="1">
        <f t="shared" si="20"/>
        <v>0</v>
      </c>
      <c r="P181" s="1">
        <f>BE182</f>
        <v>0</v>
      </c>
      <c r="S181" s="1">
        <f t="shared" si="21"/>
        <v>0</v>
      </c>
      <c r="U181" s="1">
        <v>164631</v>
      </c>
      <c r="X181" s="1" t="s">
        <v>517</v>
      </c>
      <c r="Y181" s="1">
        <v>0</v>
      </c>
      <c r="Z181" s="1">
        <v>0</v>
      </c>
      <c r="AA181" s="1" t="s">
        <v>53</v>
      </c>
      <c r="AB181" s="1" t="s">
        <v>53</v>
      </c>
      <c r="AC181" s="1" t="s">
        <v>53</v>
      </c>
      <c r="AD181" s="1" t="s">
        <v>54</v>
      </c>
      <c r="AE181" s="1" t="s">
        <v>83</v>
      </c>
      <c r="AR181" s="130">
        <f t="shared" si="22"/>
        <v>0</v>
      </c>
      <c r="BE181" s="130"/>
      <c r="BR181" s="129"/>
      <c r="BS181" s="19"/>
      <c r="BT181" s="19"/>
      <c r="BU181" s="19"/>
      <c r="BV181" s="19"/>
      <c r="BW181" s="19"/>
      <c r="BX181" s="19"/>
      <c r="BY181" s="19"/>
      <c r="BZ181" s="19"/>
      <c r="CA181" s="19"/>
      <c r="CB181" s="19"/>
      <c r="CC181" s="19"/>
      <c r="CD181" s="19"/>
      <c r="CE181" s="19"/>
      <c r="CF181" s="19"/>
      <c r="CG181" s="19"/>
      <c r="CH181" s="19"/>
      <c r="CI181" s="19"/>
      <c r="CJ181" s="19"/>
      <c r="CK181" s="19"/>
      <c r="CL181" s="19"/>
      <c r="CM181" s="19"/>
      <c r="CN181" s="19"/>
      <c r="CO181" s="19"/>
      <c r="CP181" s="19"/>
      <c r="CQ181" s="19"/>
      <c r="CR181" s="19"/>
      <c r="CS181" s="19"/>
      <c r="CT181" s="19"/>
      <c r="CU181" s="19"/>
      <c r="CV181" s="19"/>
      <c r="CW181" s="19"/>
      <c r="CX181" s="19"/>
      <c r="CY181" s="19"/>
      <c r="CZ181" s="19"/>
      <c r="DA181" s="19"/>
      <c r="DB181" s="19"/>
      <c r="DO181" s="1">
        <f t="shared" si="17"/>
        <v>0</v>
      </c>
      <c r="DP181" s="526"/>
    </row>
    <row r="182" spans="1:120" s="1" customFormat="1" ht="25.9" customHeight="1" x14ac:dyDescent="0.2">
      <c r="A182" s="4" t="s">
        <v>95</v>
      </c>
      <c r="B182" s="1" t="s">
        <v>107</v>
      </c>
      <c r="C182" s="1" t="s">
        <v>1265</v>
      </c>
      <c r="D182" s="120" t="s">
        <v>1266</v>
      </c>
      <c r="E182" s="1" t="s">
        <v>98</v>
      </c>
      <c r="F182" s="33" t="s">
        <v>49</v>
      </c>
      <c r="G182" s="1" t="s">
        <v>328</v>
      </c>
      <c r="H182" s="33" t="s">
        <v>51</v>
      </c>
      <c r="I182" s="115">
        <v>43571</v>
      </c>
      <c r="J182" s="115">
        <v>43693</v>
      </c>
      <c r="K182" s="1">
        <v>202906</v>
      </c>
      <c r="L182" s="1">
        <v>194432</v>
      </c>
      <c r="M182" s="1">
        <f t="shared" ref="M182:M191" si="23">AR182</f>
        <v>0</v>
      </c>
      <c r="P182" s="1" t="e">
        <f>#REF!</f>
        <v>#REF!</v>
      </c>
      <c r="S182" s="1">
        <f t="shared" ref="S182:S191" si="24">BR182</f>
        <v>0</v>
      </c>
      <c r="U182" s="1">
        <v>8474</v>
      </c>
      <c r="X182" s="1" t="s">
        <v>517</v>
      </c>
      <c r="Y182" s="1">
        <v>0</v>
      </c>
      <c r="Z182" s="1">
        <v>0</v>
      </c>
      <c r="AA182" s="1" t="s">
        <v>53</v>
      </c>
      <c r="AB182" s="1" t="s">
        <v>53</v>
      </c>
      <c r="AC182" s="1" t="s">
        <v>53</v>
      </c>
      <c r="AD182" s="1" t="s">
        <v>54</v>
      </c>
      <c r="AE182" s="1" t="s">
        <v>83</v>
      </c>
      <c r="AM182" s="121"/>
      <c r="AR182" s="130">
        <f t="shared" si="22"/>
        <v>0</v>
      </c>
      <c r="BE182" s="130"/>
      <c r="BR182" s="129"/>
      <c r="BS182" s="19"/>
      <c r="BT182" s="19"/>
      <c r="BU182" s="19"/>
      <c r="BV182" s="19"/>
      <c r="BW182" s="19"/>
      <c r="BX182" s="19"/>
      <c r="BY182" s="19"/>
      <c r="BZ182" s="19"/>
      <c r="CA182" s="19"/>
      <c r="CB182" s="19"/>
      <c r="CC182" s="19"/>
      <c r="CD182" s="19"/>
      <c r="CE182" s="19"/>
      <c r="CF182" s="19"/>
      <c r="CG182" s="19"/>
      <c r="CH182" s="19"/>
      <c r="CI182" s="19"/>
      <c r="CJ182" s="19"/>
      <c r="CK182" s="19"/>
      <c r="CL182" s="19"/>
      <c r="CM182" s="19"/>
      <c r="CN182" s="19"/>
      <c r="CO182" s="19"/>
      <c r="CP182" s="19"/>
      <c r="CQ182" s="19"/>
      <c r="CR182" s="19"/>
      <c r="CS182" s="19"/>
      <c r="CT182" s="19"/>
      <c r="CU182" s="19"/>
      <c r="CV182" s="19"/>
      <c r="CW182" s="19"/>
      <c r="CX182" s="19"/>
      <c r="CY182" s="19"/>
      <c r="CZ182" s="19"/>
      <c r="DA182" s="19"/>
      <c r="DB182" s="19"/>
      <c r="DO182" s="1">
        <f t="shared" si="17"/>
        <v>0</v>
      </c>
      <c r="DP182" s="526"/>
    </row>
    <row r="183" spans="1:120" s="1" customFormat="1" ht="25.5" customHeight="1" x14ac:dyDescent="0.2">
      <c r="A183" s="6" t="s">
        <v>1267</v>
      </c>
      <c r="B183" s="33" t="s">
        <v>107</v>
      </c>
      <c r="C183" s="775" t="s">
        <v>1268</v>
      </c>
      <c r="D183" s="65" t="s">
        <v>182</v>
      </c>
      <c r="E183" s="1" t="s">
        <v>122</v>
      </c>
      <c r="F183" s="33" t="s">
        <v>49</v>
      </c>
      <c r="G183" s="33" t="s">
        <v>315</v>
      </c>
      <c r="H183" s="1" t="s">
        <v>61</v>
      </c>
      <c r="I183" s="115">
        <v>43361</v>
      </c>
      <c r="J183" s="115">
        <v>43542</v>
      </c>
      <c r="K183" s="1">
        <v>1189746.67</v>
      </c>
      <c r="L183" s="1">
        <v>1126983.1100000001</v>
      </c>
      <c r="M183" s="1">
        <f t="shared" si="23"/>
        <v>621182.57000000007</v>
      </c>
      <c r="P183" s="1">
        <f>BE184</f>
        <v>0</v>
      </c>
      <c r="S183" s="1">
        <f t="shared" si="24"/>
        <v>0</v>
      </c>
      <c r="X183" s="1" t="s">
        <v>52</v>
      </c>
      <c r="Y183" s="1">
        <v>0</v>
      </c>
      <c r="Z183" s="1">
        <v>0</v>
      </c>
      <c r="AA183" s="1" t="s">
        <v>53</v>
      </c>
      <c r="AB183" s="1" t="s">
        <v>53</v>
      </c>
      <c r="AC183" s="1" t="s">
        <v>53</v>
      </c>
      <c r="AD183" s="1" t="s">
        <v>54</v>
      </c>
      <c r="AE183" s="1" t="s">
        <v>70</v>
      </c>
      <c r="AF183" s="17">
        <v>335055.58</v>
      </c>
      <c r="AG183" s="17">
        <v>286126.99</v>
      </c>
      <c r="AH183" s="17"/>
      <c r="AI183" s="17"/>
      <c r="AJ183" s="17"/>
      <c r="AK183" s="17"/>
      <c r="AL183" s="17"/>
      <c r="AM183" s="17"/>
      <c r="AN183" s="17"/>
      <c r="AO183" s="17"/>
      <c r="AP183" s="17"/>
      <c r="AQ183" s="17"/>
      <c r="AR183" s="130">
        <f t="shared" si="22"/>
        <v>621182.57000000007</v>
      </c>
      <c r="BE183" s="130"/>
      <c r="BR183" s="129"/>
      <c r="BS183" s="19"/>
      <c r="BT183" s="19"/>
      <c r="BU183" s="19"/>
      <c r="BV183" s="19"/>
      <c r="BW183" s="19"/>
      <c r="BX183" s="19"/>
      <c r="BY183" s="19"/>
      <c r="BZ183" s="19"/>
      <c r="CA183" s="19"/>
      <c r="CB183" s="19"/>
      <c r="CC183" s="19"/>
      <c r="CD183" s="19"/>
      <c r="CE183" s="19"/>
      <c r="CF183" s="19"/>
      <c r="CG183" s="19"/>
      <c r="CH183" s="19"/>
      <c r="CI183" s="19"/>
      <c r="CJ183" s="19"/>
      <c r="CK183" s="19"/>
      <c r="CL183" s="19"/>
      <c r="CM183" s="19"/>
      <c r="CN183" s="19"/>
      <c r="CO183" s="19"/>
      <c r="CP183" s="19"/>
      <c r="CQ183" s="19"/>
      <c r="CR183" s="19"/>
      <c r="CS183" s="19"/>
      <c r="CT183" s="19"/>
      <c r="CU183" s="19"/>
      <c r="CV183" s="19"/>
      <c r="CW183" s="19"/>
      <c r="CX183" s="19"/>
      <c r="CY183" s="19"/>
      <c r="CZ183" s="19"/>
      <c r="DA183" s="19"/>
      <c r="DB183" s="19"/>
      <c r="DO183" s="1">
        <f t="shared" si="17"/>
        <v>0</v>
      </c>
      <c r="DP183" s="526"/>
    </row>
    <row r="184" spans="1:120" s="1" customFormat="1" ht="25.9" customHeight="1" x14ac:dyDescent="0.2">
      <c r="A184" s="4"/>
      <c r="C184" s="775"/>
      <c r="D184" s="17" t="s">
        <v>1269</v>
      </c>
      <c r="I184" s="115"/>
      <c r="J184" s="115"/>
      <c r="M184" s="1">
        <f t="shared" si="23"/>
        <v>62807.83</v>
      </c>
      <c r="P184" s="1" t="e">
        <f>#REF!</f>
        <v>#REF!</v>
      </c>
      <c r="S184" s="1">
        <f t="shared" si="24"/>
        <v>0</v>
      </c>
      <c r="AG184" s="17">
        <v>62807.83</v>
      </c>
      <c r="AR184" s="130">
        <f t="shared" si="22"/>
        <v>62807.83</v>
      </c>
      <c r="BE184" s="130"/>
      <c r="BR184" s="129"/>
      <c r="BS184" s="19"/>
      <c r="BT184" s="19"/>
      <c r="BU184" s="19"/>
      <c r="BV184" s="19"/>
      <c r="BW184" s="19"/>
      <c r="BX184" s="19"/>
      <c r="BY184" s="19"/>
      <c r="BZ184" s="19"/>
      <c r="CA184" s="19"/>
      <c r="CB184" s="19"/>
      <c r="CC184" s="19"/>
      <c r="CD184" s="19"/>
      <c r="CE184" s="19"/>
      <c r="CF184" s="19"/>
      <c r="CG184" s="19"/>
      <c r="CH184" s="19"/>
      <c r="CI184" s="19"/>
      <c r="CJ184" s="19"/>
      <c r="CK184" s="19"/>
      <c r="CL184" s="19"/>
      <c r="CM184" s="19"/>
      <c r="CN184" s="19"/>
      <c r="CO184" s="19"/>
      <c r="CP184" s="19"/>
      <c r="CQ184" s="19"/>
      <c r="CR184" s="19"/>
      <c r="CS184" s="19"/>
      <c r="CT184" s="19"/>
      <c r="CU184" s="19"/>
      <c r="CV184" s="19"/>
      <c r="CW184" s="19"/>
      <c r="CX184" s="19"/>
      <c r="CY184" s="19"/>
      <c r="CZ184" s="19"/>
      <c r="DA184" s="19"/>
      <c r="DB184" s="19"/>
      <c r="DO184" s="1">
        <f t="shared" si="17"/>
        <v>0</v>
      </c>
      <c r="DP184" s="526"/>
    </row>
    <row r="185" spans="1:120" s="1" customFormat="1" ht="25.5" customHeight="1" x14ac:dyDescent="0.2">
      <c r="A185" s="4"/>
      <c r="C185" s="775" t="s">
        <v>1270</v>
      </c>
      <c r="D185" s="17" t="s">
        <v>1271</v>
      </c>
      <c r="I185" s="115"/>
      <c r="J185" s="115"/>
      <c r="M185" s="1">
        <f t="shared" si="23"/>
        <v>146825.59</v>
      </c>
      <c r="P185" s="1">
        <f>BE186</f>
        <v>0</v>
      </c>
      <c r="S185" s="1">
        <f t="shared" si="24"/>
        <v>0</v>
      </c>
      <c r="AI185" s="17">
        <v>146825.59</v>
      </c>
      <c r="AR185" s="130">
        <f t="shared" si="22"/>
        <v>146825.59</v>
      </c>
      <c r="BE185" s="130"/>
      <c r="BR185" s="129"/>
      <c r="BS185" s="19"/>
      <c r="BT185" s="19"/>
      <c r="BU185" s="19"/>
      <c r="BV185" s="19"/>
      <c r="BW185" s="19"/>
      <c r="BX185" s="19"/>
      <c r="BY185" s="19"/>
      <c r="BZ185" s="19"/>
      <c r="CA185" s="19"/>
      <c r="CB185" s="19"/>
      <c r="CC185" s="19"/>
      <c r="CD185" s="19"/>
      <c r="CE185" s="19"/>
      <c r="CF185" s="19"/>
      <c r="CG185" s="19"/>
      <c r="CH185" s="19"/>
      <c r="CI185" s="19"/>
      <c r="CJ185" s="19"/>
      <c r="CK185" s="19"/>
      <c r="CL185" s="19"/>
      <c r="CM185" s="19"/>
      <c r="CN185" s="19"/>
      <c r="CO185" s="19"/>
      <c r="CP185" s="19"/>
      <c r="CQ185" s="19"/>
      <c r="CR185" s="19"/>
      <c r="CS185" s="19"/>
      <c r="CT185" s="19"/>
      <c r="CU185" s="19"/>
      <c r="CV185" s="19"/>
      <c r="CW185" s="19"/>
      <c r="CX185" s="19"/>
      <c r="CY185" s="19"/>
      <c r="CZ185" s="19"/>
      <c r="DA185" s="19"/>
      <c r="DB185" s="19"/>
      <c r="DO185" s="1">
        <f t="shared" si="17"/>
        <v>0</v>
      </c>
      <c r="DP185" s="526"/>
    </row>
    <row r="186" spans="1:120" s="1" customFormat="1" ht="25.9" customHeight="1" x14ac:dyDescent="0.2">
      <c r="A186" s="4"/>
      <c r="C186" s="775"/>
      <c r="D186" s="1" t="s">
        <v>847</v>
      </c>
      <c r="I186" s="115"/>
      <c r="J186" s="115"/>
      <c r="M186" s="1">
        <f t="shared" si="23"/>
        <v>63522.720000000001</v>
      </c>
      <c r="P186" s="1" t="e">
        <f>#REF!</f>
        <v>#REF!</v>
      </c>
      <c r="S186" s="1">
        <f t="shared" si="24"/>
        <v>0</v>
      </c>
      <c r="AI186" s="1">
        <v>63522.720000000001</v>
      </c>
      <c r="AR186" s="130">
        <f t="shared" si="22"/>
        <v>63522.720000000001</v>
      </c>
      <c r="BE186" s="130"/>
      <c r="BR186" s="129"/>
      <c r="BS186" s="19"/>
      <c r="BT186" s="19"/>
      <c r="BU186" s="19"/>
      <c r="BV186" s="19"/>
      <c r="BW186" s="19"/>
      <c r="BX186" s="19"/>
      <c r="BY186" s="19"/>
      <c r="BZ186" s="19"/>
      <c r="CA186" s="19"/>
      <c r="CB186" s="19"/>
      <c r="CC186" s="19"/>
      <c r="CD186" s="19"/>
      <c r="CE186" s="19"/>
      <c r="CF186" s="19"/>
      <c r="CG186" s="19"/>
      <c r="CH186" s="19"/>
      <c r="CI186" s="19"/>
      <c r="CJ186" s="19"/>
      <c r="CK186" s="19"/>
      <c r="CL186" s="19"/>
      <c r="CM186" s="19"/>
      <c r="CN186" s="19"/>
      <c r="CO186" s="19"/>
      <c r="CP186" s="19"/>
      <c r="CQ186" s="19"/>
      <c r="CR186" s="19"/>
      <c r="CS186" s="19"/>
      <c r="CT186" s="19"/>
      <c r="CU186" s="19"/>
      <c r="CV186" s="19"/>
      <c r="CW186" s="19"/>
      <c r="CX186" s="19"/>
      <c r="CY186" s="19"/>
      <c r="CZ186" s="19"/>
      <c r="DA186" s="19"/>
      <c r="DB186" s="19"/>
      <c r="DO186" s="1">
        <f t="shared" si="17"/>
        <v>0</v>
      </c>
      <c r="DP186" s="526"/>
    </row>
    <row r="187" spans="1:120" s="1" customFormat="1" ht="25.9" customHeight="1" x14ac:dyDescent="0.2">
      <c r="A187" s="4"/>
      <c r="C187" s="1" t="s">
        <v>1272</v>
      </c>
      <c r="D187" s="1" t="s">
        <v>1273</v>
      </c>
      <c r="I187" s="115"/>
      <c r="J187" s="115"/>
      <c r="M187" s="1">
        <f t="shared" si="23"/>
        <v>752380</v>
      </c>
      <c r="P187" s="1" t="e">
        <f>#REF!</f>
        <v>#REF!</v>
      </c>
      <c r="S187" s="1">
        <f t="shared" si="24"/>
        <v>0</v>
      </c>
      <c r="AN187" s="1">
        <v>752380</v>
      </c>
      <c r="AR187" s="130">
        <f t="shared" si="22"/>
        <v>752380</v>
      </c>
      <c r="BE187" s="130"/>
      <c r="BR187" s="129"/>
      <c r="BS187" s="19"/>
      <c r="BT187" s="19"/>
      <c r="BU187" s="19"/>
      <c r="BV187" s="19"/>
      <c r="BW187" s="19"/>
      <c r="BX187" s="19"/>
      <c r="BY187" s="19"/>
      <c r="BZ187" s="19"/>
      <c r="CA187" s="19"/>
      <c r="CB187" s="19"/>
      <c r="CC187" s="19"/>
      <c r="CD187" s="19"/>
      <c r="CE187" s="19"/>
      <c r="CF187" s="19"/>
      <c r="CG187" s="19"/>
      <c r="CH187" s="19"/>
      <c r="CI187" s="19"/>
      <c r="CJ187" s="19"/>
      <c r="CK187" s="19"/>
      <c r="CL187" s="19"/>
      <c r="CM187" s="19"/>
      <c r="CN187" s="19"/>
      <c r="CO187" s="19"/>
      <c r="CP187" s="19"/>
      <c r="CQ187" s="19"/>
      <c r="CR187" s="19"/>
      <c r="CS187" s="19"/>
      <c r="CT187" s="19"/>
      <c r="CU187" s="19"/>
      <c r="CV187" s="19"/>
      <c r="CW187" s="19"/>
      <c r="CX187" s="19"/>
      <c r="CY187" s="19"/>
      <c r="CZ187" s="19"/>
      <c r="DA187" s="19"/>
      <c r="DB187" s="19"/>
      <c r="DO187" s="1">
        <f t="shared" si="17"/>
        <v>0</v>
      </c>
      <c r="DP187" s="526"/>
    </row>
    <row r="188" spans="1:120" s="1" customFormat="1" ht="25.9" customHeight="1" x14ac:dyDescent="0.2">
      <c r="A188" s="6" t="s">
        <v>1274</v>
      </c>
      <c r="B188" s="33" t="s">
        <v>57</v>
      </c>
      <c r="C188" s="775" t="s">
        <v>1275</v>
      </c>
      <c r="D188" s="1" t="s">
        <v>1276</v>
      </c>
      <c r="E188" s="1" t="s">
        <v>1277</v>
      </c>
      <c r="F188" s="33" t="s">
        <v>49</v>
      </c>
      <c r="G188" s="33" t="s">
        <v>536</v>
      </c>
      <c r="H188" s="1" t="s">
        <v>61</v>
      </c>
      <c r="I188" s="115">
        <v>42558</v>
      </c>
      <c r="J188" s="115">
        <v>42742</v>
      </c>
      <c r="K188" s="1">
        <v>3979103.77</v>
      </c>
      <c r="L188" s="1">
        <v>2160195.38</v>
      </c>
      <c r="M188" s="1">
        <f t="shared" si="23"/>
        <v>0</v>
      </c>
      <c r="P188" s="1">
        <f>BE189</f>
        <v>0</v>
      </c>
      <c r="S188" s="1">
        <f t="shared" si="24"/>
        <v>0</v>
      </c>
      <c r="U188" s="1">
        <v>1818908.3900000001</v>
      </c>
      <c r="X188" s="1" t="s">
        <v>517</v>
      </c>
      <c r="Y188" s="1">
        <v>0</v>
      </c>
      <c r="Z188" s="1">
        <v>0</v>
      </c>
      <c r="AA188" s="1" t="s">
        <v>53</v>
      </c>
      <c r="AB188" s="1" t="s">
        <v>530</v>
      </c>
      <c r="AC188" s="1" t="s">
        <v>530</v>
      </c>
      <c r="AD188" s="1" t="s">
        <v>1073</v>
      </c>
      <c r="AE188" s="1" t="s">
        <v>1278</v>
      </c>
      <c r="AR188" s="130">
        <f t="shared" si="22"/>
        <v>0</v>
      </c>
      <c r="BE188" s="130"/>
      <c r="BR188" s="129"/>
      <c r="BS188" s="19"/>
      <c r="BT188" s="19"/>
      <c r="BU188" s="19"/>
      <c r="BV188" s="19"/>
      <c r="BW188" s="19"/>
      <c r="BX188" s="19"/>
      <c r="BY188" s="19"/>
      <c r="BZ188" s="19"/>
      <c r="CA188" s="19"/>
      <c r="CB188" s="19"/>
      <c r="CC188" s="19"/>
      <c r="CD188" s="19"/>
      <c r="CE188" s="19"/>
      <c r="CF188" s="19"/>
      <c r="CG188" s="19"/>
      <c r="CH188" s="19"/>
      <c r="CI188" s="19"/>
      <c r="CJ188" s="19"/>
      <c r="CK188" s="19"/>
      <c r="CL188" s="19"/>
      <c r="CM188" s="19"/>
      <c r="CN188" s="19"/>
      <c r="CO188" s="19"/>
      <c r="CP188" s="19"/>
      <c r="CQ188" s="19"/>
      <c r="CR188" s="19"/>
      <c r="CS188" s="19"/>
      <c r="CT188" s="19"/>
      <c r="CU188" s="19"/>
      <c r="CV188" s="19"/>
      <c r="CW188" s="19"/>
      <c r="CX188" s="19"/>
      <c r="CY188" s="19"/>
      <c r="CZ188" s="19"/>
      <c r="DA188" s="19"/>
      <c r="DB188" s="19"/>
      <c r="DO188" s="1">
        <f t="shared" si="17"/>
        <v>0</v>
      </c>
      <c r="DP188" s="526"/>
    </row>
    <row r="189" spans="1:120" s="1" customFormat="1" ht="25.9" customHeight="1" x14ac:dyDescent="0.2">
      <c r="C189" s="775"/>
      <c r="D189" s="17" t="s">
        <v>140</v>
      </c>
      <c r="M189" s="1">
        <f t="shared" si="23"/>
        <v>199915.94</v>
      </c>
      <c r="P189" s="1" t="e">
        <f>#REF!</f>
        <v>#REF!</v>
      </c>
      <c r="S189" s="1">
        <f t="shared" si="24"/>
        <v>0</v>
      </c>
      <c r="AF189" s="17">
        <v>199915.94</v>
      </c>
      <c r="AR189" s="130">
        <f t="shared" si="22"/>
        <v>199915.94</v>
      </c>
      <c r="BE189" s="130"/>
      <c r="BR189" s="129"/>
      <c r="BS189" s="19"/>
      <c r="BT189" s="19"/>
      <c r="BU189" s="19"/>
      <c r="BV189" s="19"/>
      <c r="BW189" s="19"/>
      <c r="BX189" s="19"/>
      <c r="BY189" s="19"/>
      <c r="BZ189" s="19"/>
      <c r="CA189" s="19"/>
      <c r="CB189" s="19"/>
      <c r="CC189" s="19"/>
      <c r="CD189" s="19"/>
      <c r="CE189" s="19"/>
      <c r="CF189" s="19"/>
      <c r="CG189" s="19"/>
      <c r="CH189" s="19"/>
      <c r="CI189" s="19"/>
      <c r="CJ189" s="19"/>
      <c r="CK189" s="19"/>
      <c r="CL189" s="19"/>
      <c r="CM189" s="19"/>
      <c r="CN189" s="19"/>
      <c r="CO189" s="19"/>
      <c r="CP189" s="19"/>
      <c r="CQ189" s="19"/>
      <c r="CR189" s="19"/>
      <c r="CS189" s="19"/>
      <c r="CT189" s="19"/>
      <c r="CU189" s="19"/>
      <c r="CV189" s="19"/>
      <c r="CW189" s="19"/>
      <c r="CX189" s="19"/>
      <c r="CY189" s="19"/>
      <c r="CZ189" s="19"/>
      <c r="DA189" s="19"/>
      <c r="DB189" s="19"/>
      <c r="DO189" s="1">
        <f t="shared" si="17"/>
        <v>0</v>
      </c>
      <c r="DP189" s="526"/>
    </row>
    <row r="190" spans="1:120" s="1" customFormat="1" ht="25.9" customHeight="1" x14ac:dyDescent="0.2">
      <c r="C190" s="1" t="s">
        <v>1279</v>
      </c>
      <c r="D190" s="1" t="s">
        <v>1280</v>
      </c>
      <c r="M190" s="1">
        <f t="shared" si="23"/>
        <v>238050</v>
      </c>
      <c r="P190" s="1" t="e">
        <f>#REF!</f>
        <v>#REF!</v>
      </c>
      <c r="S190" s="1">
        <f t="shared" si="24"/>
        <v>0</v>
      </c>
      <c r="AQ190" s="1">
        <v>238050</v>
      </c>
      <c r="AR190" s="130">
        <f t="shared" si="22"/>
        <v>238050</v>
      </c>
      <c r="BE190" s="130"/>
      <c r="BR190" s="129"/>
      <c r="BS190" s="19"/>
      <c r="BT190" s="19"/>
      <c r="BU190" s="19"/>
      <c r="BV190" s="19"/>
      <c r="BW190" s="19"/>
      <c r="BX190" s="19"/>
      <c r="BY190" s="19"/>
      <c r="BZ190" s="19"/>
      <c r="CA190" s="19"/>
      <c r="CB190" s="19"/>
      <c r="CC190" s="19"/>
      <c r="CD190" s="19"/>
      <c r="CE190" s="19"/>
      <c r="CF190" s="19"/>
      <c r="CG190" s="19"/>
      <c r="CH190" s="19"/>
      <c r="CI190" s="19"/>
      <c r="CJ190" s="19"/>
      <c r="CK190" s="19"/>
      <c r="CL190" s="19"/>
      <c r="CM190" s="19"/>
      <c r="CN190" s="19"/>
      <c r="CO190" s="19"/>
      <c r="CP190" s="19"/>
      <c r="CQ190" s="19"/>
      <c r="CR190" s="19"/>
      <c r="CS190" s="19"/>
      <c r="CT190" s="19"/>
      <c r="CU190" s="19"/>
      <c r="CV190" s="19"/>
      <c r="CW190" s="19"/>
      <c r="CX190" s="19"/>
      <c r="CY190" s="19"/>
      <c r="CZ190" s="19"/>
      <c r="DA190" s="19"/>
      <c r="DB190" s="19"/>
      <c r="DO190" s="1">
        <f t="shared" si="17"/>
        <v>0</v>
      </c>
      <c r="DP190" s="526"/>
    </row>
    <row r="191" spans="1:120" s="2" customFormat="1" ht="25.9" customHeight="1" x14ac:dyDescent="0.2">
      <c r="A191" s="44" t="s">
        <v>1281</v>
      </c>
      <c r="B191" s="44" t="s">
        <v>45</v>
      </c>
      <c r="C191" s="36" t="s">
        <v>1282</v>
      </c>
      <c r="D191" s="3" t="s">
        <v>1283</v>
      </c>
      <c r="E191" s="4" t="s">
        <v>877</v>
      </c>
      <c r="F191" s="4" t="s">
        <v>49</v>
      </c>
      <c r="G191" s="45" t="s">
        <v>50</v>
      </c>
      <c r="H191" s="45" t="s">
        <v>61</v>
      </c>
      <c r="I191" s="5">
        <v>42319</v>
      </c>
      <c r="J191" s="37">
        <v>42685</v>
      </c>
      <c r="K191" s="16" t="s">
        <v>1284</v>
      </c>
      <c r="L191" s="12">
        <v>4116539.0500000003</v>
      </c>
      <c r="M191" s="18">
        <f t="shared" si="23"/>
        <v>835696.27150000003</v>
      </c>
      <c r="N191" s="18">
        <f>L191+M191</f>
        <v>4952235.3215000005</v>
      </c>
      <c r="O191" s="18">
        <f>N191</f>
        <v>4952235.3215000005</v>
      </c>
      <c r="P191" s="18">
        <f>BE191</f>
        <v>0</v>
      </c>
      <c r="Q191" s="18">
        <f>O191+P191</f>
        <v>4952235.3215000005</v>
      </c>
      <c r="R191" s="21">
        <f>M191+P191</f>
        <v>835696.27150000003</v>
      </c>
      <c r="S191" s="18">
        <f t="shared" si="24"/>
        <v>0</v>
      </c>
      <c r="T191" s="18">
        <f>R191+S191</f>
        <v>835696.27150000003</v>
      </c>
      <c r="U191" s="18"/>
      <c r="V191" s="4"/>
      <c r="W191" s="4"/>
      <c r="X191" s="4"/>
      <c r="Y191" s="4"/>
      <c r="Z191" s="4"/>
      <c r="AA191" s="4"/>
      <c r="AB191" s="4"/>
      <c r="AC191" s="4"/>
      <c r="AD191" s="4"/>
      <c r="AE191" s="6"/>
      <c r="AF191" s="7"/>
      <c r="AG191" s="7"/>
      <c r="AH191" s="7"/>
      <c r="AI191" s="7"/>
      <c r="AJ191" s="7"/>
      <c r="AK191" s="7"/>
      <c r="AL191" s="7"/>
      <c r="AM191" s="7"/>
      <c r="AN191" s="8">
        <v>835696.27150000003</v>
      </c>
      <c r="AO191" s="7"/>
      <c r="AP191" s="7"/>
      <c r="AQ191" s="7"/>
      <c r="AR191" s="130">
        <f t="shared" si="22"/>
        <v>835696.27150000003</v>
      </c>
      <c r="AS191" s="11"/>
      <c r="AT191" s="11"/>
      <c r="AU191" s="11"/>
      <c r="AV191" s="11"/>
      <c r="AW191" s="11"/>
      <c r="AX191" s="11"/>
      <c r="AY191" s="11"/>
      <c r="AZ191" s="11"/>
      <c r="BA191" s="11"/>
      <c r="BB191" s="11"/>
      <c r="BC191" s="11"/>
      <c r="BD191" s="11"/>
      <c r="BE191" s="130">
        <f>SUM(AS191:BD191)</f>
        <v>0</v>
      </c>
      <c r="BF191" s="12"/>
      <c r="BG191" s="12"/>
      <c r="BH191" s="12"/>
      <c r="BI191" s="12"/>
      <c r="BJ191" s="12"/>
      <c r="BK191" s="12"/>
      <c r="BL191" s="12"/>
      <c r="BM191" s="12"/>
      <c r="BN191" s="12"/>
      <c r="BO191" s="12"/>
      <c r="BP191" s="12"/>
      <c r="BQ191" s="12"/>
      <c r="BR191" s="111">
        <f>SUM(BF191:BQ191)</f>
        <v>0</v>
      </c>
      <c r="BS191" s="13"/>
      <c r="BT191" s="13"/>
      <c r="BU191" s="13"/>
      <c r="BV191" s="13"/>
      <c r="BW191" s="13"/>
      <c r="BX191" s="13"/>
      <c r="BY191" s="13"/>
      <c r="BZ191" s="13"/>
      <c r="CA191" s="13"/>
      <c r="CB191" s="13"/>
      <c r="CC191" s="13"/>
      <c r="CD191" s="13"/>
      <c r="CE191" s="13"/>
      <c r="CF191" s="13"/>
      <c r="CG191" s="13"/>
      <c r="CH191" s="13"/>
      <c r="CI191" s="13"/>
      <c r="CJ191" s="13"/>
      <c r="CK191" s="13"/>
      <c r="CL191" s="13"/>
      <c r="CM191" s="13"/>
      <c r="CN191" s="13"/>
      <c r="CO191" s="13"/>
      <c r="CP191" s="13"/>
      <c r="CQ191" s="13"/>
      <c r="CR191" s="13"/>
      <c r="CS191" s="13"/>
      <c r="CT191" s="13"/>
      <c r="CU191" s="13"/>
      <c r="CV191" s="13"/>
      <c r="CW191" s="13"/>
      <c r="CX191" s="13"/>
      <c r="CY191" s="13"/>
      <c r="CZ191" s="13"/>
      <c r="DA191" s="13"/>
      <c r="DB191" s="13"/>
      <c r="DO191" s="2">
        <f t="shared" si="17"/>
        <v>0</v>
      </c>
      <c r="DP191" s="527"/>
    </row>
    <row r="192" spans="1:120" s="1" customFormat="1" ht="25.9" customHeight="1" x14ac:dyDescent="0.2">
      <c r="AR192" s="130"/>
      <c r="BE192" s="130"/>
      <c r="BR192" s="130"/>
      <c r="BS192" s="19"/>
      <c r="BT192" s="19"/>
      <c r="BU192" s="19"/>
      <c r="BV192" s="19"/>
      <c r="BW192" s="19"/>
      <c r="BX192" s="19"/>
      <c r="BY192" s="19"/>
      <c r="BZ192" s="19"/>
      <c r="CA192" s="19"/>
      <c r="CB192" s="19"/>
      <c r="CC192" s="19"/>
      <c r="CD192" s="19"/>
      <c r="CE192" s="19"/>
      <c r="CF192" s="19"/>
      <c r="CG192" s="19"/>
      <c r="CH192" s="19"/>
      <c r="CI192" s="19"/>
      <c r="CJ192" s="19"/>
      <c r="CK192" s="19"/>
      <c r="CL192" s="19"/>
      <c r="CM192" s="19"/>
      <c r="CN192" s="19"/>
      <c r="CO192" s="19"/>
      <c r="CP192" s="19"/>
      <c r="CQ192" s="19"/>
      <c r="CR192" s="19"/>
      <c r="CS192" s="19"/>
      <c r="CT192" s="19"/>
      <c r="CU192" s="19"/>
      <c r="CV192" s="19"/>
      <c r="CW192" s="19"/>
      <c r="CX192" s="19"/>
      <c r="CY192" s="19"/>
      <c r="CZ192" s="19"/>
      <c r="DA192" s="19"/>
      <c r="DB192" s="19"/>
      <c r="DO192" s="1">
        <f t="shared" si="17"/>
        <v>0</v>
      </c>
      <c r="DP192" s="526"/>
    </row>
    <row r="193" spans="1:120" s="1" customFormat="1" ht="25.9" customHeight="1" thickBot="1" x14ac:dyDescent="0.25">
      <c r="A193" s="1" t="s">
        <v>488</v>
      </c>
      <c r="B193" s="1" t="s">
        <v>107</v>
      </c>
      <c r="C193" s="1" t="s">
        <v>489</v>
      </c>
      <c r="D193" s="1" t="s">
        <v>490</v>
      </c>
      <c r="E193" s="4" t="s">
        <v>491</v>
      </c>
      <c r="F193" s="33" t="s">
        <v>49</v>
      </c>
      <c r="G193" s="45" t="s">
        <v>492</v>
      </c>
      <c r="H193" s="44" t="s">
        <v>329</v>
      </c>
      <c r="I193" s="24">
        <v>42663</v>
      </c>
      <c r="J193" s="24">
        <v>43758</v>
      </c>
      <c r="K193" s="1" t="s">
        <v>493</v>
      </c>
      <c r="AF193" s="1">
        <v>499</v>
      </c>
      <c r="AG193" s="1">
        <v>499</v>
      </c>
      <c r="AH193" s="1">
        <v>499</v>
      </c>
      <c r="AI193" s="1">
        <v>499</v>
      </c>
      <c r="AJ193" s="1">
        <v>499</v>
      </c>
      <c r="AK193" s="1">
        <v>499</v>
      </c>
      <c r="AL193" s="1">
        <v>26399.18</v>
      </c>
      <c r="AM193" s="1">
        <v>499</v>
      </c>
      <c r="AN193" s="1">
        <v>499</v>
      </c>
      <c r="AO193" s="1">
        <v>499</v>
      </c>
      <c r="AP193" s="1">
        <v>499</v>
      </c>
      <c r="AQ193" s="1">
        <v>5550.19</v>
      </c>
      <c r="AR193" s="130">
        <f>SUBTOTAL(9,AF193:AQ193)</f>
        <v>36939.370000000003</v>
      </c>
      <c r="BE193" s="132">
        <f>SUM(AS193:BD193)</f>
        <v>0</v>
      </c>
      <c r="BR193" s="130"/>
      <c r="BS193" s="19"/>
      <c r="BT193" s="19"/>
      <c r="BU193" s="19"/>
      <c r="BV193" s="19"/>
      <c r="BW193" s="19"/>
      <c r="BX193" s="19"/>
      <c r="BY193" s="19"/>
      <c r="BZ193" s="19"/>
      <c r="CA193" s="19"/>
      <c r="CB193" s="19"/>
      <c r="CC193" s="19"/>
      <c r="CD193" s="19"/>
      <c r="CE193" s="19"/>
      <c r="CF193" s="19"/>
      <c r="CG193" s="19"/>
      <c r="CH193" s="19"/>
      <c r="CI193" s="19"/>
      <c r="CJ193" s="19"/>
      <c r="CK193" s="19"/>
      <c r="CL193" s="19"/>
      <c r="CM193" s="19"/>
      <c r="CN193" s="19"/>
      <c r="CO193" s="19"/>
      <c r="CP193" s="19"/>
      <c r="CQ193" s="19"/>
      <c r="CR193" s="19"/>
      <c r="CS193" s="19"/>
      <c r="CT193" s="19"/>
      <c r="CU193" s="19"/>
      <c r="CV193" s="19"/>
      <c r="CW193" s="19"/>
      <c r="CX193" s="19"/>
      <c r="CY193" s="19"/>
      <c r="CZ193" s="19"/>
      <c r="DA193" s="19"/>
      <c r="DB193" s="19"/>
      <c r="DO193" s="1">
        <f t="shared" si="17"/>
        <v>0</v>
      </c>
      <c r="DP193" s="526"/>
    </row>
    <row r="194" spans="1:120" s="19" customFormat="1" ht="19.899999999999999" customHeight="1" thickBot="1" x14ac:dyDescent="0.25">
      <c r="A194" s="4" t="s">
        <v>311</v>
      </c>
      <c r="B194" s="1" t="s">
        <v>107</v>
      </c>
      <c r="C194" s="1" t="s">
        <v>312</v>
      </c>
      <c r="D194" s="1" t="s">
        <v>313</v>
      </c>
      <c r="E194" s="1" t="s">
        <v>314</v>
      </c>
      <c r="F194" s="1" t="s">
        <v>49</v>
      </c>
      <c r="G194" s="33" t="s">
        <v>315</v>
      </c>
      <c r="H194" s="1" t="s">
        <v>316</v>
      </c>
      <c r="I194" s="58">
        <v>43304</v>
      </c>
      <c r="J194" s="58">
        <v>44400</v>
      </c>
      <c r="K194" s="198">
        <v>16662017.880000001</v>
      </c>
      <c r="L194" s="135"/>
      <c r="M194" s="136">
        <f t="shared" ref="M194:M202" si="25">AX194</f>
        <v>7959165.9800000004</v>
      </c>
      <c r="N194" s="136">
        <f t="shared" ref="N194:N202" si="26">L194+M194</f>
        <v>7959165.9800000004</v>
      </c>
      <c r="O194" s="137">
        <f t="shared" ref="O194:O202" si="27">K194-N194</f>
        <v>8702851.9000000004</v>
      </c>
      <c r="P194" s="135">
        <f t="shared" ref="P194:P202" si="28">N194</f>
        <v>7959165.9800000004</v>
      </c>
      <c r="Q194" s="136">
        <f t="shared" ref="Q194:Q202" si="29">BK194</f>
        <v>9551393.2400000002</v>
      </c>
      <c r="R194" s="136">
        <f t="shared" ref="R194:R202" si="30">P194+Q194</f>
        <v>17510559.219999999</v>
      </c>
      <c r="S194" s="137">
        <f t="shared" ref="S194:S202" si="31">K194-R194</f>
        <v>-848541.33999999799</v>
      </c>
      <c r="T194" s="135">
        <f t="shared" ref="T194:T202" si="32">R194</f>
        <v>17510559.219999999</v>
      </c>
      <c r="U194" s="136">
        <f t="shared" ref="U194:U202" si="33">BX194</f>
        <v>0</v>
      </c>
      <c r="V194" s="136">
        <f t="shared" ref="V194:V202" si="34">T194+U194</f>
        <v>17510559.219999999</v>
      </c>
      <c r="W194" s="207">
        <f t="shared" ref="W194:W202" si="35">K194-V194</f>
        <v>-848541.33999999799</v>
      </c>
      <c r="X194" s="259">
        <f>V194</f>
        <v>17510559.219999999</v>
      </c>
      <c r="Y194" s="136">
        <f t="shared" ref="Y194:Y202" si="36">CK194</f>
        <v>0</v>
      </c>
      <c r="Z194" s="136">
        <f>X194+Y194</f>
        <v>17510559.219999999</v>
      </c>
      <c r="AA194" s="137">
        <f t="shared" ref="AA194:AA202" si="37">K194-Z194</f>
        <v>-848541.33999999799</v>
      </c>
      <c r="AB194" s="171">
        <v>0</v>
      </c>
      <c r="AC194" s="101">
        <v>36</v>
      </c>
      <c r="AD194" s="46" t="s">
        <v>517</v>
      </c>
      <c r="AE194" s="46">
        <v>0</v>
      </c>
      <c r="AF194" s="46">
        <v>0</v>
      </c>
      <c r="AG194" s="46" t="s">
        <v>53</v>
      </c>
      <c r="AH194" s="46" t="s">
        <v>53</v>
      </c>
      <c r="AI194" s="46" t="s">
        <v>53</v>
      </c>
      <c r="AJ194" s="46" t="s">
        <v>54</v>
      </c>
      <c r="AK194" s="33" t="s">
        <v>317</v>
      </c>
      <c r="AL194" s="15">
        <f>639971.08+640523.08+663471.94+708555.83+708555.83</f>
        <v>3361077.76</v>
      </c>
      <c r="AM194" s="15">
        <v>578225.18000000005</v>
      </c>
      <c r="AN194" s="15">
        <f>114081.15+628209.19</f>
        <v>742290.34</v>
      </c>
      <c r="AO194" s="15">
        <v>639971.07999999996</v>
      </c>
      <c r="AP194" s="15">
        <v>639971.07999999996</v>
      </c>
      <c r="AQ194" s="15">
        <v>0</v>
      </c>
      <c r="AR194" s="15">
        <v>0</v>
      </c>
      <c r="AS194" s="108">
        <v>640523.04</v>
      </c>
      <c r="AT194" s="15">
        <v>648551.67000000004</v>
      </c>
      <c r="AU194" s="15">
        <v>0</v>
      </c>
      <c r="AV194" s="15">
        <v>0</v>
      </c>
      <c r="AW194" s="15">
        <v>708555.83</v>
      </c>
      <c r="AX194" s="125">
        <f t="shared" ref="AX194:AX202" si="38">SUM(AL194:AW194)</f>
        <v>7959165.9800000004</v>
      </c>
      <c r="AY194" s="15">
        <v>0</v>
      </c>
      <c r="AZ194" s="15">
        <v>708555.83</v>
      </c>
      <c r="BA194" s="15">
        <v>772096.13</v>
      </c>
      <c r="BB194" s="15">
        <v>776120.21</v>
      </c>
      <c r="BC194" s="15">
        <v>0</v>
      </c>
      <c r="BD194" s="15">
        <f>779846.21+783572.21</f>
        <v>1563418.42</v>
      </c>
      <c r="BE194" s="15">
        <v>783572.21</v>
      </c>
      <c r="BF194" s="15">
        <v>783572.21</v>
      </c>
      <c r="BG194" s="15">
        <v>783572.21</v>
      </c>
      <c r="BH194" s="15">
        <v>791024.21</v>
      </c>
      <c r="BI194" s="15">
        <v>823948.91</v>
      </c>
      <c r="BJ194" s="15">
        <f>886758.45+878754.45</f>
        <v>1765512.9</v>
      </c>
      <c r="BK194" s="125">
        <f t="shared" ref="BK194:BK202" si="39">SUM(AY194:BJ194)</f>
        <v>9551393.2400000002</v>
      </c>
      <c r="BL194" s="15"/>
      <c r="BM194" s="15"/>
      <c r="BN194" s="15"/>
      <c r="BO194" s="15"/>
      <c r="BP194" s="15"/>
      <c r="BQ194" s="15"/>
      <c r="BR194" s="15"/>
      <c r="BS194" s="15"/>
      <c r="BT194" s="15"/>
      <c r="BU194" s="15"/>
      <c r="BV194" s="15"/>
      <c r="BW194" s="15"/>
      <c r="BX194" s="211">
        <f t="shared" ref="BX194:BX202" si="40">SUM(BL194:BW194)</f>
        <v>0</v>
      </c>
      <c r="BY194" s="244">
        <v>0</v>
      </c>
      <c r="BZ194" s="278"/>
      <c r="CA194" s="278"/>
      <c r="CB194" s="278"/>
      <c r="CC194" s="278"/>
      <c r="CD194" s="278"/>
      <c r="CE194" s="278"/>
      <c r="CF194" s="278"/>
      <c r="CG194" s="278"/>
      <c r="CH194" s="278"/>
      <c r="CI194" s="278"/>
      <c r="CJ194" s="278"/>
      <c r="CK194" s="279">
        <f t="shared" ref="CK194:CK202" si="41">SUM(BY194:CJ194)</f>
        <v>0</v>
      </c>
      <c r="DC194" s="1"/>
      <c r="DD194" s="1"/>
      <c r="DE194" s="1"/>
      <c r="DF194" s="1"/>
      <c r="DG194" s="1"/>
      <c r="DH194" s="1"/>
      <c r="DI194" s="1"/>
      <c r="DJ194" s="1"/>
      <c r="DK194" s="1"/>
      <c r="DL194" s="1"/>
      <c r="DM194" s="1"/>
      <c r="DN194" s="1"/>
      <c r="DO194" s="1">
        <f t="shared" si="17"/>
        <v>0</v>
      </c>
    </row>
    <row r="195" spans="1:120" s="19" customFormat="1" ht="19.899999999999999" customHeight="1" thickBot="1" x14ac:dyDescent="0.25">
      <c r="A195" s="4" t="s">
        <v>324</v>
      </c>
      <c r="B195" s="33" t="s">
        <v>107</v>
      </c>
      <c r="C195" s="274" t="s">
        <v>325</v>
      </c>
      <c r="D195" s="1" t="s">
        <v>326</v>
      </c>
      <c r="E195" s="1" t="s">
        <v>327</v>
      </c>
      <c r="F195" s="1" t="s">
        <v>49</v>
      </c>
      <c r="G195" s="33" t="s">
        <v>328</v>
      </c>
      <c r="H195" s="33" t="s">
        <v>329</v>
      </c>
      <c r="I195" s="58">
        <v>43361</v>
      </c>
      <c r="J195" s="58">
        <v>44457</v>
      </c>
      <c r="K195" s="198">
        <v>64080</v>
      </c>
      <c r="L195" s="135"/>
      <c r="M195" s="136">
        <f t="shared" si="25"/>
        <v>187201.25</v>
      </c>
      <c r="N195" s="136">
        <f t="shared" si="26"/>
        <v>187201.25</v>
      </c>
      <c r="O195" s="137">
        <f t="shared" si="27"/>
        <v>-123121.25</v>
      </c>
      <c r="P195" s="135">
        <f t="shared" si="28"/>
        <v>187201.25</v>
      </c>
      <c r="Q195" s="136">
        <f t="shared" si="29"/>
        <v>756161.13</v>
      </c>
      <c r="R195" s="136">
        <f t="shared" si="30"/>
        <v>943362.38</v>
      </c>
      <c r="S195" s="137">
        <f t="shared" si="31"/>
        <v>-879282.38</v>
      </c>
      <c r="T195" s="135">
        <f t="shared" si="32"/>
        <v>943362.38</v>
      </c>
      <c r="U195" s="136">
        <f t="shared" si="33"/>
        <v>0</v>
      </c>
      <c r="V195" s="136">
        <f t="shared" si="34"/>
        <v>943362.38</v>
      </c>
      <c r="W195" s="207">
        <f t="shared" si="35"/>
        <v>-879282.38</v>
      </c>
      <c r="X195" s="259">
        <f>V195</f>
        <v>943362.38</v>
      </c>
      <c r="Y195" s="136">
        <f t="shared" si="36"/>
        <v>0</v>
      </c>
      <c r="Z195" s="136">
        <f>X195+Y195</f>
        <v>943362.38</v>
      </c>
      <c r="AA195" s="137">
        <f t="shared" si="37"/>
        <v>-879282.38</v>
      </c>
      <c r="AB195" s="171">
        <v>0</v>
      </c>
      <c r="AC195" s="46">
        <v>36</v>
      </c>
      <c r="AD195" s="46" t="s">
        <v>517</v>
      </c>
      <c r="AE195" s="46">
        <v>0</v>
      </c>
      <c r="AF195" s="46">
        <v>0</v>
      </c>
      <c r="AG195" s="46" t="s">
        <v>53</v>
      </c>
      <c r="AH195" s="46" t="s">
        <v>53</v>
      </c>
      <c r="AI195" s="46" t="s">
        <v>53</v>
      </c>
      <c r="AJ195" s="46" t="s">
        <v>54</v>
      </c>
      <c r="AK195" s="33" t="s">
        <v>331</v>
      </c>
      <c r="AL195" s="15">
        <f>1077.95+20972.97+36613.79+88179.86+40356.68</f>
        <v>187201.25</v>
      </c>
      <c r="AM195" s="15"/>
      <c r="AN195" s="15"/>
      <c r="AO195" s="15"/>
      <c r="AP195" s="15"/>
      <c r="AQ195" s="15"/>
      <c r="AR195" s="15"/>
      <c r="AS195" s="108"/>
      <c r="AT195" s="15"/>
      <c r="AU195" s="15"/>
      <c r="AV195" s="15"/>
      <c r="AW195" s="15"/>
      <c r="AX195" s="125">
        <f t="shared" si="38"/>
        <v>187201.25</v>
      </c>
      <c r="AY195" s="15">
        <f>40106.05+12694.67+12615.17</f>
        <v>65415.89</v>
      </c>
      <c r="AZ195" s="15">
        <f>42098.84</f>
        <v>42098.84</v>
      </c>
      <c r="BA195" s="15">
        <f>12694.67+39902.98+41915.45</f>
        <v>94513.1</v>
      </c>
      <c r="BB195" s="15">
        <f>12829.66</f>
        <v>12829.66</v>
      </c>
      <c r="BC195" s="15">
        <f>41915.45+38556.34+13010.15</f>
        <v>93481.939999999988</v>
      </c>
      <c r="BD195" s="15">
        <f>21352.41+40484.82</f>
        <v>61837.229999999996</v>
      </c>
      <c r="BE195" s="15">
        <f>21352.41+43225.83</f>
        <v>64578.240000000005</v>
      </c>
      <c r="BF195" s="15">
        <v>21318.880000000001</v>
      </c>
      <c r="BG195" s="15">
        <f>41687.21+41166.76+21352.11</f>
        <v>104206.08</v>
      </c>
      <c r="BH195" s="15">
        <f>41078.71+24861.13</f>
        <v>65939.839999999997</v>
      </c>
      <c r="BI195" s="15">
        <f>40490.91+24281.65</f>
        <v>64772.560000000005</v>
      </c>
      <c r="BJ195" s="15">
        <f>40887.14+24281.73</f>
        <v>65168.869999999995</v>
      </c>
      <c r="BK195" s="125">
        <f t="shared" si="39"/>
        <v>756161.13</v>
      </c>
      <c r="BL195" s="15"/>
      <c r="BM195" s="15"/>
      <c r="BN195" s="15"/>
      <c r="BO195" s="15"/>
      <c r="BP195" s="15"/>
      <c r="BQ195" s="15"/>
      <c r="BR195" s="15"/>
      <c r="BS195" s="15"/>
      <c r="BT195" s="15"/>
      <c r="BU195" s="15"/>
      <c r="BV195" s="15"/>
      <c r="BW195" s="15"/>
      <c r="BX195" s="211">
        <f t="shared" si="40"/>
        <v>0</v>
      </c>
      <c r="BY195" s="241">
        <v>0</v>
      </c>
      <c r="BZ195" s="42"/>
      <c r="CA195" s="42"/>
      <c r="CB195" s="42"/>
      <c r="CC195" s="42"/>
      <c r="CD195" s="42"/>
      <c r="CE195" s="42"/>
      <c r="CF195" s="42"/>
      <c r="CG195" s="42"/>
      <c r="CH195" s="42"/>
      <c r="CI195" s="42"/>
      <c r="CJ195" s="42"/>
      <c r="CK195" s="279">
        <f t="shared" si="41"/>
        <v>0</v>
      </c>
      <c r="DC195" s="1"/>
      <c r="DD195" s="1"/>
      <c r="DE195" s="1"/>
      <c r="DF195" s="1"/>
      <c r="DG195" s="1"/>
      <c r="DH195" s="1"/>
      <c r="DI195" s="1"/>
      <c r="DJ195" s="1"/>
      <c r="DK195" s="1"/>
      <c r="DL195" s="1"/>
      <c r="DM195" s="1"/>
      <c r="DN195" s="1"/>
      <c r="DO195" s="1">
        <f t="shared" ref="DO195:DO258" si="42">SUM(DC195:DN195)</f>
        <v>0</v>
      </c>
    </row>
    <row r="196" spans="1:120" s="106" customFormat="1" ht="16.899999999999999" customHeight="1" thickBot="1" x14ac:dyDescent="0.25">
      <c r="A196" s="46" t="s">
        <v>332</v>
      </c>
      <c r="B196" s="103" t="s">
        <v>107</v>
      </c>
      <c r="C196" s="1" t="s">
        <v>333</v>
      </c>
      <c r="D196" s="1" t="s">
        <v>334</v>
      </c>
      <c r="E196" s="104" t="s">
        <v>335</v>
      </c>
      <c r="F196" s="103" t="s">
        <v>49</v>
      </c>
      <c r="G196" s="104" t="s">
        <v>328</v>
      </c>
      <c r="H196" s="103" t="s">
        <v>329</v>
      </c>
      <c r="I196" s="58">
        <v>43361</v>
      </c>
      <c r="J196" s="122">
        <v>44457</v>
      </c>
      <c r="K196" s="198">
        <v>584587.88</v>
      </c>
      <c r="L196" s="135"/>
      <c r="M196" s="136">
        <f t="shared" si="25"/>
        <v>0</v>
      </c>
      <c r="N196" s="136">
        <f t="shared" si="26"/>
        <v>0</v>
      </c>
      <c r="O196" s="137">
        <f t="shared" si="27"/>
        <v>584587.88</v>
      </c>
      <c r="P196" s="135">
        <f t="shared" si="28"/>
        <v>0</v>
      </c>
      <c r="Q196" s="136">
        <f t="shared" si="29"/>
        <v>143419.36000000002</v>
      </c>
      <c r="R196" s="136">
        <f t="shared" si="30"/>
        <v>143419.36000000002</v>
      </c>
      <c r="S196" s="137">
        <f t="shared" si="31"/>
        <v>441168.52</v>
      </c>
      <c r="T196" s="135">
        <f t="shared" si="32"/>
        <v>143419.36000000002</v>
      </c>
      <c r="U196" s="136">
        <f t="shared" si="33"/>
        <v>0</v>
      </c>
      <c r="V196" s="136">
        <f t="shared" si="34"/>
        <v>143419.36000000002</v>
      </c>
      <c r="W196" s="207">
        <f t="shared" si="35"/>
        <v>441168.52</v>
      </c>
      <c r="X196" s="135">
        <f>V196</f>
        <v>143419.36000000002</v>
      </c>
      <c r="Y196" s="136">
        <f t="shared" si="36"/>
        <v>0</v>
      </c>
      <c r="Z196" s="136">
        <f>X196+Y196</f>
        <v>143419.36000000002</v>
      </c>
      <c r="AA196" s="137">
        <f t="shared" si="37"/>
        <v>441168.52</v>
      </c>
      <c r="AB196" s="171">
        <v>0</v>
      </c>
      <c r="AC196" s="46">
        <v>36</v>
      </c>
      <c r="AD196" s="46" t="s">
        <v>517</v>
      </c>
      <c r="AE196" s="46">
        <v>0</v>
      </c>
      <c r="AF196" s="46">
        <v>0</v>
      </c>
      <c r="AG196" s="46" t="s">
        <v>53</v>
      </c>
      <c r="AH196" s="46" t="s">
        <v>53</v>
      </c>
      <c r="AI196" s="46" t="s">
        <v>53</v>
      </c>
      <c r="AJ196" s="46" t="s">
        <v>54</v>
      </c>
      <c r="AK196" s="33" t="s">
        <v>331</v>
      </c>
      <c r="AL196" s="15"/>
      <c r="AM196" s="15"/>
      <c r="AN196" s="15"/>
      <c r="AO196" s="15"/>
      <c r="AP196" s="15"/>
      <c r="AQ196" s="15"/>
      <c r="AR196" s="15"/>
      <c r="AS196" s="108"/>
      <c r="AT196" s="15"/>
      <c r="AU196" s="15"/>
      <c r="AV196" s="15"/>
      <c r="AW196" s="15"/>
      <c r="AX196" s="125">
        <f t="shared" si="38"/>
        <v>0</v>
      </c>
      <c r="AY196" s="15">
        <f>14868.21</f>
        <v>14868.21</v>
      </c>
      <c r="AZ196" s="15">
        <v>0</v>
      </c>
      <c r="BA196" s="15">
        <v>7434.11</v>
      </c>
      <c r="BB196" s="15">
        <v>0</v>
      </c>
      <c r="BC196" s="15">
        <v>0</v>
      </c>
      <c r="BD196" s="15">
        <v>22240.22</v>
      </c>
      <c r="BE196" s="15">
        <v>0</v>
      </c>
      <c r="BF196" s="15">
        <f>14826.81+7434.11+7434.11</f>
        <v>29695.03</v>
      </c>
      <c r="BG196" s="15"/>
      <c r="BH196" s="15"/>
      <c r="BI196" s="15">
        <f>20582.56+7434.11</f>
        <v>28016.670000000002</v>
      </c>
      <c r="BJ196" s="15">
        <f>20582.56*2</f>
        <v>41165.120000000003</v>
      </c>
      <c r="BK196" s="125">
        <f t="shared" si="39"/>
        <v>143419.36000000002</v>
      </c>
      <c r="BL196" s="105"/>
      <c r="BM196" s="105"/>
      <c r="BN196" s="105"/>
      <c r="BO196" s="105"/>
      <c r="BP196" s="105"/>
      <c r="BQ196" s="105"/>
      <c r="BR196" s="105"/>
      <c r="BS196" s="105"/>
      <c r="BT196" s="105"/>
      <c r="BU196" s="105"/>
      <c r="BV196" s="105"/>
      <c r="BW196" s="105"/>
      <c r="BX196" s="211">
        <f t="shared" si="40"/>
        <v>0</v>
      </c>
      <c r="BY196" s="241">
        <v>0</v>
      </c>
      <c r="BZ196" s="280"/>
      <c r="CA196" s="280"/>
      <c r="CB196" s="280"/>
      <c r="CC196" s="280"/>
      <c r="CD196" s="280"/>
      <c r="CE196" s="280"/>
      <c r="CF196" s="280"/>
      <c r="CG196" s="280"/>
      <c r="CH196" s="280"/>
      <c r="CI196" s="280"/>
      <c r="CJ196" s="280"/>
      <c r="CK196" s="279">
        <f t="shared" si="41"/>
        <v>0</v>
      </c>
      <c r="DC196" s="104"/>
      <c r="DD196" s="104"/>
      <c r="DE196" s="104"/>
      <c r="DF196" s="104"/>
      <c r="DG196" s="104"/>
      <c r="DH196" s="104"/>
      <c r="DI196" s="104"/>
      <c r="DJ196" s="104"/>
      <c r="DK196" s="104"/>
      <c r="DL196" s="104"/>
      <c r="DM196" s="104"/>
      <c r="DN196" s="104"/>
      <c r="DO196" s="104">
        <f t="shared" si="42"/>
        <v>0</v>
      </c>
    </row>
    <row r="197" spans="1:120" s="19" customFormat="1" ht="19.899999999999999" customHeight="1" thickBot="1" x14ac:dyDescent="0.25">
      <c r="A197" s="4" t="s">
        <v>358</v>
      </c>
      <c r="B197" s="33" t="s">
        <v>107</v>
      </c>
      <c r="C197" s="1" t="s">
        <v>359</v>
      </c>
      <c r="D197" s="1" t="s">
        <v>360</v>
      </c>
      <c r="E197" s="1" t="s">
        <v>361</v>
      </c>
      <c r="F197" s="1" t="s">
        <v>49</v>
      </c>
      <c r="G197" s="33" t="s">
        <v>362</v>
      </c>
      <c r="H197" s="33" t="s">
        <v>363</v>
      </c>
      <c r="I197" s="58">
        <v>43614</v>
      </c>
      <c r="J197" s="58">
        <v>44164</v>
      </c>
      <c r="K197" s="261">
        <v>448000</v>
      </c>
      <c r="L197" s="262"/>
      <c r="M197" s="263">
        <f t="shared" si="25"/>
        <v>313600</v>
      </c>
      <c r="N197" s="263">
        <f t="shared" si="26"/>
        <v>313600</v>
      </c>
      <c r="O197" s="264">
        <f t="shared" si="27"/>
        <v>134400</v>
      </c>
      <c r="P197" s="262">
        <f t="shared" si="28"/>
        <v>313600</v>
      </c>
      <c r="Q197" s="263">
        <f t="shared" si="29"/>
        <v>134400</v>
      </c>
      <c r="R197" s="263">
        <f t="shared" si="30"/>
        <v>448000</v>
      </c>
      <c r="S197" s="264">
        <f t="shared" si="31"/>
        <v>0</v>
      </c>
      <c r="T197" s="262">
        <f t="shared" si="32"/>
        <v>448000</v>
      </c>
      <c r="U197" s="263">
        <f t="shared" si="33"/>
        <v>0</v>
      </c>
      <c r="V197" s="263">
        <f t="shared" si="34"/>
        <v>448000</v>
      </c>
      <c r="W197" s="265">
        <f t="shared" si="35"/>
        <v>0</v>
      </c>
      <c r="X197" s="262">
        <f>V197</f>
        <v>448000</v>
      </c>
      <c r="Y197" s="136">
        <f t="shared" si="36"/>
        <v>0</v>
      </c>
      <c r="Z197" s="136">
        <f>X197+Y197</f>
        <v>448000</v>
      </c>
      <c r="AA197" s="137">
        <f t="shared" si="37"/>
        <v>0</v>
      </c>
      <c r="AB197" s="171">
        <v>0</v>
      </c>
      <c r="AC197" s="46">
        <v>18</v>
      </c>
      <c r="AD197" s="46" t="s">
        <v>517</v>
      </c>
      <c r="AE197" s="46">
        <v>0</v>
      </c>
      <c r="AF197" s="46">
        <v>0</v>
      </c>
      <c r="AG197" s="46" t="s">
        <v>53</v>
      </c>
      <c r="AH197" s="46" t="s">
        <v>53</v>
      </c>
      <c r="AI197" s="46" t="s">
        <v>53</v>
      </c>
      <c r="AJ197" s="46" t="s">
        <v>54</v>
      </c>
      <c r="AK197" s="33" t="s">
        <v>83</v>
      </c>
      <c r="AL197" s="15">
        <v>179200</v>
      </c>
      <c r="AM197" s="15">
        <v>67200</v>
      </c>
      <c r="AN197" s="15">
        <v>0</v>
      </c>
      <c r="AO197" s="15">
        <v>0</v>
      </c>
      <c r="AP197" s="15">
        <v>0</v>
      </c>
      <c r="AQ197" s="15">
        <v>0</v>
      </c>
      <c r="AR197" s="15">
        <v>0</v>
      </c>
      <c r="AS197" s="108">
        <v>67200</v>
      </c>
      <c r="AT197" s="15">
        <v>0</v>
      </c>
      <c r="AU197" s="15">
        <v>0</v>
      </c>
      <c r="AV197" s="15">
        <v>0</v>
      </c>
      <c r="AW197" s="15">
        <v>0</v>
      </c>
      <c r="AX197" s="125">
        <f t="shared" si="38"/>
        <v>313600</v>
      </c>
      <c r="AY197" s="15">
        <v>0</v>
      </c>
      <c r="AZ197" s="15">
        <v>0</v>
      </c>
      <c r="BA197" s="15">
        <v>0</v>
      </c>
      <c r="BB197" s="15">
        <v>0</v>
      </c>
      <c r="BC197" s="15">
        <v>134400</v>
      </c>
      <c r="BD197" s="15">
        <v>0</v>
      </c>
      <c r="BE197" s="15">
        <v>0</v>
      </c>
      <c r="BF197" s="15">
        <v>0</v>
      </c>
      <c r="BG197" s="15">
        <v>0</v>
      </c>
      <c r="BH197" s="15">
        <v>0</v>
      </c>
      <c r="BI197" s="15">
        <v>0</v>
      </c>
      <c r="BJ197" s="15">
        <v>0</v>
      </c>
      <c r="BK197" s="125">
        <f t="shared" si="39"/>
        <v>134400</v>
      </c>
      <c r="BL197" s="15"/>
      <c r="BM197" s="15"/>
      <c r="BN197" s="15"/>
      <c r="BO197" s="15"/>
      <c r="BP197" s="15"/>
      <c r="BQ197" s="15"/>
      <c r="BR197" s="15"/>
      <c r="BS197" s="15"/>
      <c r="BT197" s="15"/>
      <c r="BU197" s="15"/>
      <c r="BV197" s="15"/>
      <c r="BW197" s="15"/>
      <c r="BX197" s="211">
        <f t="shared" si="40"/>
        <v>0</v>
      </c>
      <c r="BY197" s="241">
        <v>0</v>
      </c>
      <c r="BZ197" s="42"/>
      <c r="CA197" s="42"/>
      <c r="CB197" s="42"/>
      <c r="CC197" s="42"/>
      <c r="CD197" s="42"/>
      <c r="CE197" s="42"/>
      <c r="CF197" s="42"/>
      <c r="CG197" s="42"/>
      <c r="CH197" s="42"/>
      <c r="CI197" s="42"/>
      <c r="CJ197" s="42"/>
      <c r="CK197" s="279">
        <f t="shared" si="41"/>
        <v>0</v>
      </c>
      <c r="DC197" s="1"/>
      <c r="DD197" s="1"/>
      <c r="DE197" s="1"/>
      <c r="DF197" s="1"/>
      <c r="DG197" s="1"/>
      <c r="DH197" s="1"/>
      <c r="DI197" s="1"/>
      <c r="DJ197" s="1"/>
      <c r="DK197" s="1"/>
      <c r="DL197" s="1"/>
      <c r="DM197" s="1"/>
      <c r="DN197" s="1"/>
      <c r="DO197" s="1">
        <f t="shared" si="42"/>
        <v>0</v>
      </c>
    </row>
    <row r="198" spans="1:120" s="19" customFormat="1" ht="19.899999999999999" customHeight="1" thickBot="1" x14ac:dyDescent="0.25">
      <c r="A198" s="4" t="s">
        <v>364</v>
      </c>
      <c r="B198" s="33" t="s">
        <v>107</v>
      </c>
      <c r="C198" s="1" t="s">
        <v>365</v>
      </c>
      <c r="D198" s="1" t="s">
        <v>366</v>
      </c>
      <c r="E198" s="1" t="s">
        <v>367</v>
      </c>
      <c r="F198" s="1" t="s">
        <v>49</v>
      </c>
      <c r="G198" s="33" t="s">
        <v>362</v>
      </c>
      <c r="H198" s="33" t="s">
        <v>363</v>
      </c>
      <c r="I198" s="58">
        <v>43614</v>
      </c>
      <c r="J198" s="58">
        <v>44164</v>
      </c>
      <c r="K198" s="198">
        <v>499800</v>
      </c>
      <c r="L198" s="135"/>
      <c r="M198" s="136">
        <f t="shared" si="25"/>
        <v>126097.5</v>
      </c>
      <c r="N198" s="136">
        <f t="shared" si="26"/>
        <v>126097.5</v>
      </c>
      <c r="O198" s="137">
        <f t="shared" si="27"/>
        <v>373702.5</v>
      </c>
      <c r="P198" s="135">
        <f t="shared" si="28"/>
        <v>126097.5</v>
      </c>
      <c r="Q198" s="136">
        <f t="shared" si="29"/>
        <v>361479.5</v>
      </c>
      <c r="R198" s="136">
        <f t="shared" si="30"/>
        <v>487577</v>
      </c>
      <c r="S198" s="137">
        <f t="shared" si="31"/>
        <v>12223</v>
      </c>
      <c r="T198" s="135">
        <f t="shared" si="32"/>
        <v>487577</v>
      </c>
      <c r="U198" s="136">
        <f t="shared" si="33"/>
        <v>0</v>
      </c>
      <c r="V198" s="136">
        <f t="shared" si="34"/>
        <v>487577</v>
      </c>
      <c r="W198" s="207">
        <f t="shared" si="35"/>
        <v>12223</v>
      </c>
      <c r="X198" s="135"/>
      <c r="Y198" s="136">
        <f t="shared" si="36"/>
        <v>0</v>
      </c>
      <c r="Z198" s="136"/>
      <c r="AA198" s="137">
        <f t="shared" si="37"/>
        <v>499800</v>
      </c>
      <c r="AB198" s="171">
        <v>0</v>
      </c>
      <c r="AC198" s="46">
        <v>18</v>
      </c>
      <c r="AD198" s="46" t="s">
        <v>517</v>
      </c>
      <c r="AE198" s="46">
        <v>0</v>
      </c>
      <c r="AF198" s="46">
        <v>0</v>
      </c>
      <c r="AG198" s="46" t="s">
        <v>53</v>
      </c>
      <c r="AH198" s="46" t="s">
        <v>53</v>
      </c>
      <c r="AI198" s="46" t="s">
        <v>53</v>
      </c>
      <c r="AJ198" s="46" t="s">
        <v>54</v>
      </c>
      <c r="AK198" s="33" t="s">
        <v>83</v>
      </c>
      <c r="AL198" s="15">
        <v>0</v>
      </c>
      <c r="AM198" s="15">
        <v>0</v>
      </c>
      <c r="AN198" s="15">
        <v>0</v>
      </c>
      <c r="AO198" s="15">
        <v>0</v>
      </c>
      <c r="AP198" s="15">
        <f>50439+75658.5</f>
        <v>126097.5</v>
      </c>
      <c r="AQ198" s="15"/>
      <c r="AR198" s="15"/>
      <c r="AS198" s="108"/>
      <c r="AT198" s="15"/>
      <c r="AU198" s="15"/>
      <c r="AV198" s="15"/>
      <c r="AW198" s="15"/>
      <c r="AX198" s="125">
        <f t="shared" si="38"/>
        <v>126097.5</v>
      </c>
      <c r="AY198" s="15">
        <v>0</v>
      </c>
      <c r="AZ198" s="15">
        <v>211646</v>
      </c>
      <c r="BA198" s="15">
        <v>0</v>
      </c>
      <c r="BB198" s="15">
        <v>0</v>
      </c>
      <c r="BC198" s="15">
        <v>0</v>
      </c>
      <c r="BD198" s="15">
        <v>149833.5</v>
      </c>
      <c r="BE198" s="15">
        <v>0</v>
      </c>
      <c r="BF198" s="15">
        <v>0</v>
      </c>
      <c r="BG198" s="15">
        <v>0</v>
      </c>
      <c r="BH198" s="15">
        <v>0</v>
      </c>
      <c r="BI198" s="15">
        <v>0</v>
      </c>
      <c r="BJ198" s="15">
        <v>0</v>
      </c>
      <c r="BK198" s="125">
        <f t="shared" si="39"/>
        <v>361479.5</v>
      </c>
      <c r="BL198" s="15"/>
      <c r="BM198" s="15"/>
      <c r="BN198" s="15"/>
      <c r="BO198" s="15"/>
      <c r="BP198" s="15"/>
      <c r="BQ198" s="15"/>
      <c r="BR198" s="15"/>
      <c r="BS198" s="15"/>
      <c r="BT198" s="15"/>
      <c r="BU198" s="15"/>
      <c r="BV198" s="15"/>
      <c r="BW198" s="15"/>
      <c r="BX198" s="211">
        <f t="shared" si="40"/>
        <v>0</v>
      </c>
      <c r="BY198" s="241">
        <v>0</v>
      </c>
      <c r="BZ198" s="42"/>
      <c r="CA198" s="42"/>
      <c r="CB198" s="42"/>
      <c r="CC198" s="42"/>
      <c r="CD198" s="42"/>
      <c r="CE198" s="42"/>
      <c r="CF198" s="42"/>
      <c r="CG198" s="42"/>
      <c r="CH198" s="42"/>
      <c r="CI198" s="42"/>
      <c r="CJ198" s="42"/>
      <c r="CK198" s="279">
        <f t="shared" si="41"/>
        <v>0</v>
      </c>
      <c r="DC198" s="1"/>
      <c r="DD198" s="1"/>
      <c r="DE198" s="1"/>
      <c r="DF198" s="1"/>
      <c r="DG198" s="1"/>
      <c r="DH198" s="1"/>
      <c r="DI198" s="1"/>
      <c r="DJ198" s="1"/>
      <c r="DK198" s="1"/>
      <c r="DL198" s="1"/>
      <c r="DM198" s="1"/>
      <c r="DN198" s="1"/>
      <c r="DO198" s="1">
        <f t="shared" si="42"/>
        <v>0</v>
      </c>
    </row>
    <row r="199" spans="1:120" s="19" customFormat="1" ht="19.899999999999999" customHeight="1" thickBot="1" x14ac:dyDescent="0.25">
      <c r="A199" s="4" t="s">
        <v>368</v>
      </c>
      <c r="B199" s="33" t="s">
        <v>107</v>
      </c>
      <c r="C199" s="1" t="s">
        <v>369</v>
      </c>
      <c r="D199" s="1" t="s">
        <v>370</v>
      </c>
      <c r="E199" s="1" t="s">
        <v>371</v>
      </c>
      <c r="F199" s="1" t="s">
        <v>49</v>
      </c>
      <c r="G199" s="33" t="s">
        <v>328</v>
      </c>
      <c r="H199" s="33" t="s">
        <v>329</v>
      </c>
      <c r="I199" s="270">
        <v>43776</v>
      </c>
      <c r="J199" s="270">
        <v>44872</v>
      </c>
      <c r="K199" s="240">
        <v>455400</v>
      </c>
      <c r="L199" s="135"/>
      <c r="M199" s="136">
        <f t="shared" si="25"/>
        <v>116150</v>
      </c>
      <c r="N199" s="136">
        <f t="shared" si="26"/>
        <v>116150</v>
      </c>
      <c r="O199" s="137">
        <f t="shared" si="27"/>
        <v>339250</v>
      </c>
      <c r="P199" s="135">
        <f t="shared" si="28"/>
        <v>116150</v>
      </c>
      <c r="Q199" s="136">
        <f t="shared" si="29"/>
        <v>138000</v>
      </c>
      <c r="R199" s="136">
        <f t="shared" si="30"/>
        <v>254150</v>
      </c>
      <c r="S199" s="137">
        <f t="shared" si="31"/>
        <v>201250</v>
      </c>
      <c r="T199" s="135">
        <f t="shared" si="32"/>
        <v>254150</v>
      </c>
      <c r="U199" s="136">
        <f t="shared" si="33"/>
        <v>11500</v>
      </c>
      <c r="V199" s="136">
        <f t="shared" si="34"/>
        <v>265650</v>
      </c>
      <c r="W199" s="207">
        <f t="shared" si="35"/>
        <v>189750</v>
      </c>
      <c r="X199" s="135"/>
      <c r="Y199" s="136">
        <f t="shared" si="36"/>
        <v>92000</v>
      </c>
      <c r="Z199" s="136"/>
      <c r="AA199" s="137">
        <f t="shared" si="37"/>
        <v>455400</v>
      </c>
      <c r="AB199" s="171">
        <v>0</v>
      </c>
      <c r="AC199" s="46">
        <v>36</v>
      </c>
      <c r="AD199" s="46" t="s">
        <v>1304</v>
      </c>
      <c r="AE199" s="46">
        <v>0</v>
      </c>
      <c r="AF199" s="46">
        <v>0</v>
      </c>
      <c r="AG199" s="46" t="s">
        <v>53</v>
      </c>
      <c r="AH199" s="46" t="s">
        <v>53</v>
      </c>
      <c r="AI199" s="46" t="s">
        <v>53</v>
      </c>
      <c r="AJ199" s="46" t="s">
        <v>54</v>
      </c>
      <c r="AK199" s="33" t="s">
        <v>70</v>
      </c>
      <c r="AL199" s="15"/>
      <c r="AM199" s="15"/>
      <c r="AN199" s="15"/>
      <c r="AO199" s="15"/>
      <c r="AP199" s="15">
        <v>0</v>
      </c>
      <c r="AQ199" s="15">
        <v>0</v>
      </c>
      <c r="AR199" s="15">
        <v>0</v>
      </c>
      <c r="AS199" s="108">
        <v>0</v>
      </c>
      <c r="AT199" s="15">
        <v>0</v>
      </c>
      <c r="AU199" s="15">
        <f>10350*9</f>
        <v>93150</v>
      </c>
      <c r="AV199" s="15">
        <v>11500</v>
      </c>
      <c r="AW199" s="15">
        <v>11500</v>
      </c>
      <c r="AX199" s="125">
        <f t="shared" si="38"/>
        <v>116150</v>
      </c>
      <c r="AY199" s="15">
        <v>11500</v>
      </c>
      <c r="AZ199" s="15">
        <v>0</v>
      </c>
      <c r="BA199" s="15">
        <f>11500</f>
        <v>11500</v>
      </c>
      <c r="BB199" s="15">
        <f>11500*2</f>
        <v>23000</v>
      </c>
      <c r="BC199" s="15">
        <v>0</v>
      </c>
      <c r="BD199" s="15">
        <f>11500</f>
        <v>11500</v>
      </c>
      <c r="BE199" s="15">
        <v>11500</v>
      </c>
      <c r="BF199" s="15">
        <f>11500*2</f>
        <v>23000</v>
      </c>
      <c r="BG199" s="15">
        <v>0</v>
      </c>
      <c r="BH199" s="15">
        <f>11500*2</f>
        <v>23000</v>
      </c>
      <c r="BI199" s="15"/>
      <c r="BJ199" s="15">
        <f>11500*2</f>
        <v>23000</v>
      </c>
      <c r="BK199" s="125">
        <f t="shared" si="39"/>
        <v>138000</v>
      </c>
      <c r="BL199" s="15"/>
      <c r="BM199" s="15"/>
      <c r="BN199" s="15"/>
      <c r="BO199" s="15"/>
      <c r="BP199" s="15"/>
      <c r="BQ199" s="15"/>
      <c r="BR199" s="15"/>
      <c r="BS199" s="15"/>
      <c r="BT199" s="15"/>
      <c r="BU199" s="15"/>
      <c r="BV199" s="15"/>
      <c r="BW199" s="15">
        <v>11500</v>
      </c>
      <c r="BX199" s="211">
        <f t="shared" si="40"/>
        <v>11500</v>
      </c>
      <c r="BY199" s="241">
        <v>0</v>
      </c>
      <c r="BZ199" s="42"/>
      <c r="CA199" s="42"/>
      <c r="CB199" s="42"/>
      <c r="CC199" s="42">
        <f>11500*3</f>
        <v>34500</v>
      </c>
      <c r="CD199" s="42">
        <v>11500</v>
      </c>
      <c r="CE199" s="42">
        <f>11500*2</f>
        <v>23000</v>
      </c>
      <c r="CF199" s="42">
        <v>11500</v>
      </c>
      <c r="CG199" s="42">
        <v>11500</v>
      </c>
      <c r="CH199" s="42"/>
      <c r="CI199" s="42"/>
      <c r="CJ199" s="42"/>
      <c r="CK199" s="279">
        <f t="shared" si="41"/>
        <v>92000</v>
      </c>
      <c r="DC199" s="1"/>
      <c r="DD199" s="1"/>
      <c r="DE199" s="1"/>
      <c r="DF199" s="1"/>
      <c r="DG199" s="1"/>
      <c r="DH199" s="1"/>
      <c r="DI199" s="1"/>
      <c r="DJ199" s="1"/>
      <c r="DK199" s="1"/>
      <c r="DL199" s="1"/>
      <c r="DM199" s="1"/>
      <c r="DN199" s="1"/>
      <c r="DO199" s="1">
        <f t="shared" si="42"/>
        <v>0</v>
      </c>
    </row>
    <row r="200" spans="1:120" s="19" customFormat="1" ht="19.899999999999999" customHeight="1" thickBot="1" x14ac:dyDescent="0.25">
      <c r="A200" s="4" t="s">
        <v>372</v>
      </c>
      <c r="B200" s="33" t="s">
        <v>107</v>
      </c>
      <c r="C200" s="1" t="s">
        <v>373</v>
      </c>
      <c r="D200" s="1" t="s">
        <v>374</v>
      </c>
      <c r="E200" s="1" t="s">
        <v>375</v>
      </c>
      <c r="F200" s="1" t="s">
        <v>49</v>
      </c>
      <c r="G200" s="33" t="s">
        <v>354</v>
      </c>
      <c r="H200" s="33" t="s">
        <v>316</v>
      </c>
      <c r="I200" s="58">
        <v>43672</v>
      </c>
      <c r="J200" s="58">
        <v>44768</v>
      </c>
      <c r="K200" s="198">
        <v>851775</v>
      </c>
      <c r="L200" s="135"/>
      <c r="M200" s="136">
        <f t="shared" si="25"/>
        <v>0</v>
      </c>
      <c r="N200" s="136">
        <f t="shared" si="26"/>
        <v>0</v>
      </c>
      <c r="O200" s="137">
        <f t="shared" si="27"/>
        <v>851775</v>
      </c>
      <c r="P200" s="135">
        <f t="shared" si="28"/>
        <v>0</v>
      </c>
      <c r="Q200" s="136">
        <f t="shared" si="29"/>
        <v>0</v>
      </c>
      <c r="R200" s="136">
        <f t="shared" si="30"/>
        <v>0</v>
      </c>
      <c r="S200" s="137">
        <f t="shared" si="31"/>
        <v>851775</v>
      </c>
      <c r="T200" s="135">
        <f t="shared" si="32"/>
        <v>0</v>
      </c>
      <c r="U200" s="136">
        <f t="shared" si="33"/>
        <v>0</v>
      </c>
      <c r="V200" s="136">
        <f t="shared" si="34"/>
        <v>0</v>
      </c>
      <c r="W200" s="207">
        <f t="shared" si="35"/>
        <v>851775</v>
      </c>
      <c r="X200" s="135">
        <f>V200</f>
        <v>0</v>
      </c>
      <c r="Y200" s="136">
        <f t="shared" si="36"/>
        <v>0</v>
      </c>
      <c r="Z200" s="136">
        <f>X200+Y200</f>
        <v>0</v>
      </c>
      <c r="AA200" s="137">
        <f t="shared" si="37"/>
        <v>851775</v>
      </c>
      <c r="AB200" s="171">
        <v>0</v>
      </c>
      <c r="AC200" s="46">
        <v>36</v>
      </c>
      <c r="AD200" s="46" t="s">
        <v>517</v>
      </c>
      <c r="AE200" s="46">
        <v>0</v>
      </c>
      <c r="AF200" s="46">
        <v>0</v>
      </c>
      <c r="AG200" s="46" t="s">
        <v>53</v>
      </c>
      <c r="AH200" s="46" t="s">
        <v>53</v>
      </c>
      <c r="AI200" s="46" t="s">
        <v>53</v>
      </c>
      <c r="AJ200" s="46" t="s">
        <v>54</v>
      </c>
      <c r="AK200" s="33" t="s">
        <v>70</v>
      </c>
      <c r="AL200" s="15"/>
      <c r="AM200" s="15"/>
      <c r="AN200" s="15"/>
      <c r="AO200" s="15"/>
      <c r="AP200" s="15"/>
      <c r="AQ200" s="15"/>
      <c r="AR200" s="15"/>
      <c r="AS200" s="108"/>
      <c r="AT200" s="15"/>
      <c r="AU200" s="15"/>
      <c r="AV200" s="15"/>
      <c r="AW200" s="15"/>
      <c r="AX200" s="125">
        <f t="shared" si="38"/>
        <v>0</v>
      </c>
      <c r="AY200" s="15"/>
      <c r="AZ200" s="15"/>
      <c r="BA200" s="15"/>
      <c r="BB200" s="15"/>
      <c r="BC200" s="15"/>
      <c r="BD200" s="15"/>
      <c r="BE200" s="15"/>
      <c r="BF200" s="15"/>
      <c r="BG200" s="15"/>
      <c r="BH200" s="15"/>
      <c r="BI200" s="15"/>
      <c r="BJ200" s="15"/>
      <c r="BK200" s="125">
        <f t="shared" si="39"/>
        <v>0</v>
      </c>
      <c r="BL200" s="15"/>
      <c r="BM200" s="15"/>
      <c r="BN200" s="15"/>
      <c r="BO200" s="15"/>
      <c r="BP200" s="15"/>
      <c r="BQ200" s="15"/>
      <c r="BR200" s="15"/>
      <c r="BS200" s="15"/>
      <c r="BT200" s="15"/>
      <c r="BU200" s="15"/>
      <c r="BV200" s="15"/>
      <c r="BW200" s="15"/>
      <c r="BX200" s="211">
        <f t="shared" si="40"/>
        <v>0</v>
      </c>
      <c r="BY200" s="241">
        <v>0</v>
      </c>
      <c r="BZ200" s="42"/>
      <c r="CA200" s="42"/>
      <c r="CB200" s="42"/>
      <c r="CC200" s="42"/>
      <c r="CD200" s="42"/>
      <c r="CE200" s="42"/>
      <c r="CF200" s="42"/>
      <c r="CG200" s="42"/>
      <c r="CH200" s="42"/>
      <c r="CI200" s="42"/>
      <c r="CJ200" s="42"/>
      <c r="CK200" s="279">
        <f t="shared" si="41"/>
        <v>0</v>
      </c>
      <c r="DC200" s="1"/>
      <c r="DD200" s="1"/>
      <c r="DE200" s="1"/>
      <c r="DF200" s="1"/>
      <c r="DG200" s="1"/>
      <c r="DH200" s="1"/>
      <c r="DI200" s="1"/>
      <c r="DJ200" s="1"/>
      <c r="DK200" s="1"/>
      <c r="DL200" s="1"/>
      <c r="DM200" s="1"/>
      <c r="DN200" s="1"/>
      <c r="DO200" s="1">
        <f t="shared" si="42"/>
        <v>0</v>
      </c>
    </row>
    <row r="201" spans="1:120" s="19" customFormat="1" ht="19.899999999999999" customHeight="1" thickBot="1" x14ac:dyDescent="0.25">
      <c r="A201" s="4" t="s">
        <v>376</v>
      </c>
      <c r="B201" s="33" t="s">
        <v>107</v>
      </c>
      <c r="C201" s="1" t="s">
        <v>377</v>
      </c>
      <c r="D201" s="1" t="s">
        <v>378</v>
      </c>
      <c r="E201" s="1" t="s">
        <v>379</v>
      </c>
      <c r="F201" s="1" t="s">
        <v>49</v>
      </c>
      <c r="G201" s="33" t="s">
        <v>328</v>
      </c>
      <c r="H201" s="33" t="s">
        <v>316</v>
      </c>
      <c r="I201" s="270">
        <v>43672</v>
      </c>
      <c r="J201" s="270">
        <v>44768</v>
      </c>
      <c r="K201" s="240">
        <v>700911</v>
      </c>
      <c r="L201" s="135"/>
      <c r="M201" s="136">
        <f t="shared" si="25"/>
        <v>700911</v>
      </c>
      <c r="N201" s="136">
        <f t="shared" si="26"/>
        <v>700911</v>
      </c>
      <c r="O201" s="137">
        <f t="shared" si="27"/>
        <v>0</v>
      </c>
      <c r="P201" s="135">
        <f t="shared" si="28"/>
        <v>700911</v>
      </c>
      <c r="Q201" s="136">
        <f t="shared" si="29"/>
        <v>1659596.51</v>
      </c>
      <c r="R201" s="136">
        <f t="shared" si="30"/>
        <v>2360507.5099999998</v>
      </c>
      <c r="S201" s="137">
        <f t="shared" si="31"/>
        <v>-1659596.5099999998</v>
      </c>
      <c r="T201" s="135">
        <f t="shared" si="32"/>
        <v>2360507.5099999998</v>
      </c>
      <c r="U201" s="136">
        <f t="shared" si="33"/>
        <v>0</v>
      </c>
      <c r="V201" s="136">
        <f t="shared" si="34"/>
        <v>2360507.5099999998</v>
      </c>
      <c r="W201" s="207">
        <f t="shared" si="35"/>
        <v>-1659596.5099999998</v>
      </c>
      <c r="X201" s="135"/>
      <c r="Y201" s="136">
        <f t="shared" si="36"/>
        <v>0</v>
      </c>
      <c r="Z201" s="136"/>
      <c r="AA201" s="137">
        <f t="shared" si="37"/>
        <v>700911</v>
      </c>
      <c r="AB201" s="171">
        <v>0</v>
      </c>
      <c r="AC201" s="46">
        <v>36</v>
      </c>
      <c r="AD201" s="46" t="s">
        <v>517</v>
      </c>
      <c r="AE201" s="238">
        <v>36</v>
      </c>
      <c r="AF201" s="46">
        <v>0</v>
      </c>
      <c r="AG201" s="46" t="s">
        <v>53</v>
      </c>
      <c r="AH201" s="46" t="s">
        <v>53</v>
      </c>
      <c r="AI201" s="46" t="s">
        <v>53</v>
      </c>
      <c r="AJ201" s="46" t="s">
        <v>54</v>
      </c>
      <c r="AK201" s="33" t="s">
        <v>70</v>
      </c>
      <c r="AL201" s="15">
        <v>700911</v>
      </c>
      <c r="AM201" s="15">
        <v>0</v>
      </c>
      <c r="AN201" s="15">
        <v>0</v>
      </c>
      <c r="AO201" s="15">
        <v>0</v>
      </c>
      <c r="AP201" s="15">
        <v>0</v>
      </c>
      <c r="AQ201" s="15">
        <v>0</v>
      </c>
      <c r="AR201" s="15">
        <v>0</v>
      </c>
      <c r="AS201" s="108">
        <v>0</v>
      </c>
      <c r="AT201" s="15">
        <v>0</v>
      </c>
      <c r="AU201" s="15">
        <v>0</v>
      </c>
      <c r="AV201" s="15">
        <v>0</v>
      </c>
      <c r="AW201" s="15">
        <v>0</v>
      </c>
      <c r="AX201" s="125">
        <f t="shared" si="38"/>
        <v>700911</v>
      </c>
      <c r="AY201" s="15">
        <v>1449629.94</v>
      </c>
      <c r="AZ201" s="15">
        <v>0</v>
      </c>
      <c r="BA201" s="15">
        <v>0</v>
      </c>
      <c r="BB201" s="15">
        <v>0</v>
      </c>
      <c r="BC201" s="15">
        <v>0</v>
      </c>
      <c r="BD201" s="15">
        <v>0</v>
      </c>
      <c r="BE201" s="15">
        <v>0</v>
      </c>
      <c r="BF201" s="15">
        <v>0</v>
      </c>
      <c r="BG201" s="15">
        <v>0</v>
      </c>
      <c r="BH201" s="15">
        <v>209966.57</v>
      </c>
      <c r="BI201" s="15">
        <v>0</v>
      </c>
      <c r="BJ201" s="15">
        <v>0</v>
      </c>
      <c r="BK201" s="125">
        <f t="shared" si="39"/>
        <v>1659596.51</v>
      </c>
      <c r="BL201" s="15"/>
      <c r="BM201" s="15"/>
      <c r="BN201" s="15"/>
      <c r="BO201" s="15"/>
      <c r="BP201" s="15"/>
      <c r="BQ201" s="15"/>
      <c r="BR201" s="15"/>
      <c r="BS201" s="15"/>
      <c r="BT201" s="15"/>
      <c r="BU201" s="15"/>
      <c r="BV201" s="15"/>
      <c r="BW201" s="15"/>
      <c r="BX201" s="211">
        <f t="shared" si="40"/>
        <v>0</v>
      </c>
      <c r="BY201" s="241">
        <v>0</v>
      </c>
      <c r="BZ201" s="42"/>
      <c r="CA201" s="42"/>
      <c r="CB201" s="42"/>
      <c r="CC201" s="42"/>
      <c r="CD201" s="42"/>
      <c r="CE201" s="42"/>
      <c r="CF201" s="42"/>
      <c r="CG201" s="42"/>
      <c r="CH201" s="42"/>
      <c r="CI201" s="42"/>
      <c r="CJ201" s="42"/>
      <c r="CK201" s="279">
        <f t="shared" si="41"/>
        <v>0</v>
      </c>
      <c r="DC201" s="1"/>
      <c r="DD201" s="1"/>
      <c r="DE201" s="1"/>
      <c r="DF201" s="1"/>
      <c r="DG201" s="1"/>
      <c r="DH201" s="1"/>
      <c r="DI201" s="1"/>
      <c r="DJ201" s="1"/>
      <c r="DK201" s="1"/>
      <c r="DL201" s="1"/>
      <c r="DM201" s="1"/>
      <c r="DN201" s="1"/>
      <c r="DO201" s="1">
        <f t="shared" si="42"/>
        <v>0</v>
      </c>
    </row>
    <row r="202" spans="1:120" s="19" customFormat="1" ht="19.899999999999999" customHeight="1" x14ac:dyDescent="0.2">
      <c r="A202" s="4" t="s">
        <v>380</v>
      </c>
      <c r="B202" s="33" t="s">
        <v>107</v>
      </c>
      <c r="C202" s="1" t="s">
        <v>381</v>
      </c>
      <c r="D202" s="1" t="s">
        <v>382</v>
      </c>
      <c r="E202" s="1" t="s">
        <v>383</v>
      </c>
      <c r="F202" s="1" t="s">
        <v>49</v>
      </c>
      <c r="G202" s="33" t="s">
        <v>328</v>
      </c>
      <c r="H202" s="33" t="s">
        <v>384</v>
      </c>
      <c r="I202" s="270">
        <v>43776</v>
      </c>
      <c r="J202" s="58">
        <v>44872</v>
      </c>
      <c r="K202" s="240">
        <v>2252790</v>
      </c>
      <c r="L202" s="135"/>
      <c r="M202" s="136">
        <f t="shared" si="25"/>
        <v>1675751.83</v>
      </c>
      <c r="N202" s="136">
        <f t="shared" si="26"/>
        <v>1675751.83</v>
      </c>
      <c r="O202" s="137">
        <f t="shared" si="27"/>
        <v>577038.16999999993</v>
      </c>
      <c r="P202" s="135">
        <f t="shared" si="28"/>
        <v>1675751.83</v>
      </c>
      <c r="Q202" s="136">
        <f t="shared" si="29"/>
        <v>2200829.1799999997</v>
      </c>
      <c r="R202" s="136">
        <f t="shared" si="30"/>
        <v>3876581.01</v>
      </c>
      <c r="S202" s="137">
        <f t="shared" si="31"/>
        <v>-1623791.0099999998</v>
      </c>
      <c r="T202" s="135">
        <f t="shared" si="32"/>
        <v>3876581.01</v>
      </c>
      <c r="U202" s="136">
        <f t="shared" si="33"/>
        <v>613973</v>
      </c>
      <c r="V202" s="136">
        <f t="shared" si="34"/>
        <v>4490554.01</v>
      </c>
      <c r="W202" s="207">
        <f t="shared" si="35"/>
        <v>-2237764.0099999998</v>
      </c>
      <c r="X202" s="135"/>
      <c r="Y202" s="136">
        <f t="shared" si="36"/>
        <v>1753989.5</v>
      </c>
      <c r="Z202" s="136"/>
      <c r="AA202" s="137">
        <f t="shared" si="37"/>
        <v>2252790</v>
      </c>
      <c r="AB202" s="171">
        <v>0</v>
      </c>
      <c r="AC202" s="46">
        <v>36</v>
      </c>
      <c r="AD202" s="46" t="s">
        <v>1304</v>
      </c>
      <c r="AE202" s="46">
        <v>0</v>
      </c>
      <c r="AF202" s="46">
        <v>0</v>
      </c>
      <c r="AG202" s="46" t="s">
        <v>53</v>
      </c>
      <c r="AH202" s="46" t="s">
        <v>53</v>
      </c>
      <c r="AI202" s="46" t="s">
        <v>53</v>
      </c>
      <c r="AJ202" s="46" t="s">
        <v>54</v>
      </c>
      <c r="AK202" s="33" t="s">
        <v>70</v>
      </c>
      <c r="AL202" s="15"/>
      <c r="AM202" s="15"/>
      <c r="AN202" s="15"/>
      <c r="AO202" s="15">
        <f>368529+89062.9</f>
        <v>457591.9</v>
      </c>
      <c r="AP202" s="15">
        <v>0</v>
      </c>
      <c r="AQ202" s="15">
        <v>0</v>
      </c>
      <c r="AR202" s="15">
        <v>0</v>
      </c>
      <c r="AS202" s="108">
        <v>0</v>
      </c>
      <c r="AT202" s="15">
        <f>134262.5+413011</f>
        <v>547273.5</v>
      </c>
      <c r="AU202" s="15">
        <v>0</v>
      </c>
      <c r="AV202" s="15">
        <f>125245.93+545640.5</f>
        <v>670886.42999999993</v>
      </c>
      <c r="AW202" s="15">
        <v>0</v>
      </c>
      <c r="AX202" s="125">
        <f t="shared" si="38"/>
        <v>1675751.83</v>
      </c>
      <c r="AY202" s="15">
        <v>859093.7</v>
      </c>
      <c r="AZ202" s="15">
        <v>0</v>
      </c>
      <c r="BA202" s="15">
        <f>463277.5+100919.98</f>
        <v>564197.48</v>
      </c>
      <c r="BB202" s="15"/>
      <c r="BC202" s="15">
        <v>0</v>
      </c>
      <c r="BD202" s="15">
        <v>0</v>
      </c>
      <c r="BE202" s="15">
        <v>0</v>
      </c>
      <c r="BF202" s="15">
        <v>0</v>
      </c>
      <c r="BG202" s="15">
        <v>0</v>
      </c>
      <c r="BH202" s="15">
        <v>0</v>
      </c>
      <c r="BI202" s="15">
        <f>196121+581417</f>
        <v>777538</v>
      </c>
      <c r="BJ202" s="15"/>
      <c r="BK202" s="125">
        <f t="shared" si="39"/>
        <v>2200829.1799999997</v>
      </c>
      <c r="BL202" s="15"/>
      <c r="BM202" s="15"/>
      <c r="BN202" s="15"/>
      <c r="BO202" s="15"/>
      <c r="BP202" s="15"/>
      <c r="BQ202" s="15"/>
      <c r="BR202" s="15"/>
      <c r="BS202" s="15"/>
      <c r="BT202" s="15"/>
      <c r="BU202" s="15"/>
      <c r="BV202" s="15"/>
      <c r="BW202" s="15">
        <v>613973</v>
      </c>
      <c r="BX202" s="211">
        <f t="shared" si="40"/>
        <v>613973</v>
      </c>
      <c r="BY202" s="241">
        <v>0</v>
      </c>
      <c r="BZ202" s="42"/>
      <c r="CA202" s="42"/>
      <c r="CB202" s="42">
        <v>792636.5</v>
      </c>
      <c r="CC202" s="42">
        <v>961353</v>
      </c>
      <c r="CD202" s="42"/>
      <c r="CE202" s="42"/>
      <c r="CF202" s="42"/>
      <c r="CG202" s="42"/>
      <c r="CH202" s="42"/>
      <c r="CI202" s="42"/>
      <c r="CJ202" s="42"/>
      <c r="CK202" s="279">
        <f t="shared" si="41"/>
        <v>1753989.5</v>
      </c>
      <c r="DC202" s="1"/>
      <c r="DD202" s="1"/>
      <c r="DE202" s="1"/>
      <c r="DF202" s="1"/>
      <c r="DG202" s="1"/>
      <c r="DH202" s="1"/>
      <c r="DI202" s="1"/>
      <c r="DJ202" s="1"/>
      <c r="DK202" s="1"/>
      <c r="DL202" s="1"/>
      <c r="DM202" s="1"/>
      <c r="DN202" s="1"/>
      <c r="DO202" s="1">
        <f t="shared" si="42"/>
        <v>0</v>
      </c>
    </row>
    <row r="203" spans="1:120" ht="25.9" customHeight="1" thickBot="1" x14ac:dyDescent="0.3">
      <c r="DC203" s="518"/>
      <c r="DD203" s="518"/>
      <c r="DE203" s="518"/>
      <c r="DF203" s="518"/>
      <c r="DG203" s="518"/>
      <c r="DH203" s="518"/>
      <c r="DI203" s="518"/>
      <c r="DJ203" s="518"/>
      <c r="DK203" s="518"/>
      <c r="DL203" s="518"/>
      <c r="DM203" s="518"/>
      <c r="DN203" s="518"/>
      <c r="DO203" s="518">
        <f t="shared" si="42"/>
        <v>0</v>
      </c>
    </row>
    <row r="204" spans="1:120" s="19" customFormat="1" ht="19.899999999999999" customHeight="1" thickBot="1" x14ac:dyDescent="0.25">
      <c r="A204" s="4" t="s">
        <v>390</v>
      </c>
      <c r="B204" s="33" t="s">
        <v>107</v>
      </c>
      <c r="C204" s="1" t="s">
        <v>391</v>
      </c>
      <c r="D204" s="1" t="s">
        <v>392</v>
      </c>
      <c r="E204" s="1" t="s">
        <v>393</v>
      </c>
      <c r="F204" s="1" t="s">
        <v>49</v>
      </c>
      <c r="G204" s="33" t="s">
        <v>362</v>
      </c>
      <c r="H204" s="33" t="s">
        <v>363</v>
      </c>
      <c r="I204" s="270">
        <v>43956</v>
      </c>
      <c r="J204" s="58">
        <v>44377</v>
      </c>
      <c r="K204" s="240">
        <v>447120</v>
      </c>
      <c r="L204" s="262"/>
      <c r="M204" s="263">
        <f>AX204</f>
        <v>0</v>
      </c>
      <c r="N204" s="263">
        <f>L204+M204</f>
        <v>0</v>
      </c>
      <c r="O204" s="264">
        <f>K204-N204</f>
        <v>447120</v>
      </c>
      <c r="P204" s="262">
        <f>N204</f>
        <v>0</v>
      </c>
      <c r="Q204" s="263">
        <f>BK204</f>
        <v>447120</v>
      </c>
      <c r="R204" s="263">
        <f>P204+Q204</f>
        <v>447120</v>
      </c>
      <c r="S204" s="264">
        <f>K204-R204</f>
        <v>0</v>
      </c>
      <c r="T204" s="262">
        <f>R204</f>
        <v>447120</v>
      </c>
      <c r="U204" s="263">
        <f>BX204</f>
        <v>0</v>
      </c>
      <c r="V204" s="263">
        <f>T204+U204</f>
        <v>447120</v>
      </c>
      <c r="W204" s="265">
        <f>K204-V204</f>
        <v>0</v>
      </c>
      <c r="X204" s="262">
        <f>V204</f>
        <v>447120</v>
      </c>
      <c r="Y204" s="136">
        <f>CK204</f>
        <v>0</v>
      </c>
      <c r="Z204" s="136">
        <f>X204+Y204</f>
        <v>447120</v>
      </c>
      <c r="AA204" s="137">
        <f>K204-Z204</f>
        <v>0</v>
      </c>
      <c r="AB204" s="171">
        <v>0</v>
      </c>
      <c r="AC204" s="46">
        <v>6</v>
      </c>
      <c r="AD204" s="46" t="s">
        <v>517</v>
      </c>
      <c r="AE204" s="46">
        <v>0</v>
      </c>
      <c r="AF204" s="46">
        <v>0</v>
      </c>
      <c r="AG204" s="46" t="s">
        <v>53</v>
      </c>
      <c r="AH204" s="46" t="s">
        <v>53</v>
      </c>
      <c r="AI204" s="46" t="s">
        <v>53</v>
      </c>
      <c r="AJ204" s="46" t="s">
        <v>54</v>
      </c>
      <c r="AK204" s="33" t="s">
        <v>70</v>
      </c>
      <c r="AL204" s="15"/>
      <c r="AM204" s="15"/>
      <c r="AN204" s="15"/>
      <c r="AO204" s="15"/>
      <c r="AP204" s="15"/>
      <c r="AQ204" s="15"/>
      <c r="AR204" s="15"/>
      <c r="AS204" s="108"/>
      <c r="AT204" s="15"/>
      <c r="AU204" s="15"/>
      <c r="AV204" s="15"/>
      <c r="AW204" s="15"/>
      <c r="AX204" s="125">
        <f>SUM(AL204:AW204)</f>
        <v>0</v>
      </c>
      <c r="AY204" s="15">
        <v>0</v>
      </c>
      <c r="AZ204" s="15">
        <v>0</v>
      </c>
      <c r="BA204" s="15">
        <v>0</v>
      </c>
      <c r="BB204" s="15">
        <v>0</v>
      </c>
      <c r="BC204" s="15">
        <v>0</v>
      </c>
      <c r="BD204" s="15">
        <v>277150</v>
      </c>
      <c r="BE204" s="15">
        <v>0</v>
      </c>
      <c r="BF204" s="15">
        <v>0</v>
      </c>
      <c r="BG204" s="15">
        <v>0</v>
      </c>
      <c r="BH204" s="15">
        <v>0</v>
      </c>
      <c r="BI204" s="15">
        <v>0</v>
      </c>
      <c r="BJ204" s="15">
        <v>169970</v>
      </c>
      <c r="BK204" s="125">
        <f>SUM(AY204:BJ204)</f>
        <v>447120</v>
      </c>
      <c r="BL204" s="15"/>
      <c r="BM204" s="15"/>
      <c r="BN204" s="15"/>
      <c r="BO204" s="15"/>
      <c r="BP204" s="15"/>
      <c r="BQ204" s="15"/>
      <c r="BR204" s="15"/>
      <c r="BS204" s="15"/>
      <c r="BT204" s="15"/>
      <c r="BU204" s="15"/>
      <c r="BV204" s="15"/>
      <c r="BW204" s="15"/>
      <c r="BX204" s="211">
        <f>SUM(BL204:BW204)</f>
        <v>0</v>
      </c>
      <c r="BY204" s="241">
        <v>0</v>
      </c>
      <c r="BZ204" s="42"/>
      <c r="CA204" s="42"/>
      <c r="CB204" s="42"/>
      <c r="CC204" s="42"/>
      <c r="CD204" s="42"/>
      <c r="CE204" s="42"/>
      <c r="CF204" s="42"/>
      <c r="CG204" s="42"/>
      <c r="CH204" s="42"/>
      <c r="CI204" s="42"/>
      <c r="CJ204" s="42"/>
      <c r="CK204" s="279">
        <f>SUM(BY204:CJ204)</f>
        <v>0</v>
      </c>
      <c r="DC204" s="1"/>
      <c r="DD204" s="1"/>
      <c r="DE204" s="1"/>
      <c r="DF204" s="1"/>
      <c r="DG204" s="1"/>
      <c r="DH204" s="1"/>
      <c r="DI204" s="1"/>
      <c r="DJ204" s="1"/>
      <c r="DK204" s="1"/>
      <c r="DL204" s="1"/>
      <c r="DM204" s="1"/>
      <c r="DN204" s="1"/>
      <c r="DO204" s="1">
        <f t="shared" si="42"/>
        <v>0</v>
      </c>
    </row>
    <row r="205" spans="1:120" s="19" customFormat="1" ht="19.899999999999999" customHeight="1" thickBot="1" x14ac:dyDescent="0.25">
      <c r="A205" s="4" t="s">
        <v>394</v>
      </c>
      <c r="B205" s="33" t="s">
        <v>107</v>
      </c>
      <c r="C205" s="1" t="s">
        <v>395</v>
      </c>
      <c r="D205" s="1" t="s">
        <v>396</v>
      </c>
      <c r="E205" s="1" t="s">
        <v>397</v>
      </c>
      <c r="F205" s="1" t="s">
        <v>49</v>
      </c>
      <c r="G205" s="33" t="s">
        <v>362</v>
      </c>
      <c r="H205" s="33" t="s">
        <v>363</v>
      </c>
      <c r="I205" s="270">
        <v>43956</v>
      </c>
      <c r="J205" s="58">
        <v>44377</v>
      </c>
      <c r="K205" s="240">
        <v>592020</v>
      </c>
      <c r="L205" s="135"/>
      <c r="M205" s="136">
        <f>AX205</f>
        <v>69000</v>
      </c>
      <c r="N205" s="136">
        <f>L205+M205</f>
        <v>69000</v>
      </c>
      <c r="O205" s="137">
        <f>K205-N205</f>
        <v>523020</v>
      </c>
      <c r="P205" s="135">
        <f>N205</f>
        <v>69000</v>
      </c>
      <c r="Q205" s="136">
        <f>BK205</f>
        <v>648635.18999999994</v>
      </c>
      <c r="R205" s="136">
        <f>P205+Q205</f>
        <v>717635.19</v>
      </c>
      <c r="S205" s="137">
        <f>K205-R205</f>
        <v>-125615.18999999994</v>
      </c>
      <c r="T205" s="135">
        <f>R205</f>
        <v>717635.19</v>
      </c>
      <c r="U205" s="136">
        <f>BX205</f>
        <v>0</v>
      </c>
      <c r="V205" s="136">
        <f>T205+U205</f>
        <v>717635.19</v>
      </c>
      <c r="W205" s="207">
        <f>K205-V205</f>
        <v>-125615.18999999994</v>
      </c>
      <c r="X205" s="135">
        <f>V205</f>
        <v>717635.19</v>
      </c>
      <c r="Y205" s="136">
        <f>CK205</f>
        <v>0</v>
      </c>
      <c r="Z205" s="136">
        <f>X205+Y205</f>
        <v>717635.19</v>
      </c>
      <c r="AA205" s="137">
        <f>K205-Z205</f>
        <v>-125615.18999999994</v>
      </c>
      <c r="AB205" s="171">
        <v>0</v>
      </c>
      <c r="AC205" s="46">
        <v>6</v>
      </c>
      <c r="AD205" s="46" t="s">
        <v>517</v>
      </c>
      <c r="AE205" s="46">
        <v>0</v>
      </c>
      <c r="AF205" s="46">
        <v>0</v>
      </c>
      <c r="AG205" s="46" t="s">
        <v>53</v>
      </c>
      <c r="AH205" s="46" t="s">
        <v>53</v>
      </c>
      <c r="AI205" s="46" t="s">
        <v>53</v>
      </c>
      <c r="AJ205" s="46" t="s">
        <v>54</v>
      </c>
      <c r="AK205" s="33" t="s">
        <v>70</v>
      </c>
      <c r="AL205" s="15">
        <v>69000</v>
      </c>
      <c r="AM205" s="15"/>
      <c r="AN205" s="15"/>
      <c r="AO205" s="15"/>
      <c r="AP205" s="15"/>
      <c r="AQ205" s="15"/>
      <c r="AR205" s="15"/>
      <c r="AS205" s="108"/>
      <c r="AT205" s="15"/>
      <c r="AU205" s="15"/>
      <c r="AV205" s="15">
        <v>0</v>
      </c>
      <c r="AW205" s="15">
        <v>0</v>
      </c>
      <c r="AX205" s="125">
        <f>SUM(AL205:AW205)</f>
        <v>69000</v>
      </c>
      <c r="AY205" s="15">
        <v>0</v>
      </c>
      <c r="AZ205" s="15">
        <v>0</v>
      </c>
      <c r="BA205" s="15">
        <v>0</v>
      </c>
      <c r="BB205" s="15">
        <v>0</v>
      </c>
      <c r="BC205" s="15">
        <v>0</v>
      </c>
      <c r="BD205" s="15">
        <v>89148</v>
      </c>
      <c r="BE205" s="15">
        <v>0</v>
      </c>
      <c r="BF205" s="15">
        <v>0</v>
      </c>
      <c r="BG205" s="15">
        <v>0</v>
      </c>
      <c r="BH205" s="15">
        <v>0</v>
      </c>
      <c r="BI205" s="15">
        <v>0</v>
      </c>
      <c r="BJ205" s="15">
        <f>23920+433872+4887.5+46000+17250+9276.59+24281.1</f>
        <v>559487.18999999994</v>
      </c>
      <c r="BK205" s="125">
        <f>SUM(AY205:BJ205)</f>
        <v>648635.18999999994</v>
      </c>
      <c r="BL205" s="15"/>
      <c r="BM205" s="15"/>
      <c r="BN205" s="15"/>
      <c r="BO205" s="15"/>
      <c r="BP205" s="15"/>
      <c r="BQ205" s="15"/>
      <c r="BR205" s="15"/>
      <c r="BS205" s="15"/>
      <c r="BT205" s="15"/>
      <c r="BU205" s="15"/>
      <c r="BV205" s="15"/>
      <c r="BW205" s="15"/>
      <c r="BX205" s="211">
        <f>SUM(BL205:BW205)</f>
        <v>0</v>
      </c>
      <c r="BY205" s="241">
        <v>0</v>
      </c>
      <c r="BZ205" s="42"/>
      <c r="CA205" s="42"/>
      <c r="CB205" s="42"/>
      <c r="CC205" s="42"/>
      <c r="CD205" s="42"/>
      <c r="CE205" s="42"/>
      <c r="CF205" s="42"/>
      <c r="CG205" s="42"/>
      <c r="CH205" s="42"/>
      <c r="CI205" s="42"/>
      <c r="CJ205" s="42"/>
      <c r="CK205" s="279">
        <f>SUM(BY205:CJ205)</f>
        <v>0</v>
      </c>
      <c r="DC205" s="1"/>
      <c r="DD205" s="1"/>
      <c r="DE205" s="1"/>
      <c r="DF205" s="1"/>
      <c r="DG205" s="1"/>
      <c r="DH205" s="1"/>
      <c r="DI205" s="1"/>
      <c r="DJ205" s="1"/>
      <c r="DK205" s="1"/>
      <c r="DL205" s="1"/>
      <c r="DM205" s="1"/>
      <c r="DN205" s="1"/>
      <c r="DO205" s="1">
        <f t="shared" si="42"/>
        <v>0</v>
      </c>
    </row>
    <row r="206" spans="1:120" s="19" customFormat="1" ht="19.899999999999999" customHeight="1" thickBot="1" x14ac:dyDescent="0.25">
      <c r="A206" s="4" t="s">
        <v>376</v>
      </c>
      <c r="B206" s="33" t="s">
        <v>107</v>
      </c>
      <c r="C206" s="1" t="s">
        <v>402</v>
      </c>
      <c r="D206" s="1" t="s">
        <v>403</v>
      </c>
      <c r="E206" s="1" t="s">
        <v>404</v>
      </c>
      <c r="F206" s="1" t="s">
        <v>49</v>
      </c>
      <c r="G206" s="33" t="s">
        <v>328</v>
      </c>
      <c r="H206" s="33" t="s">
        <v>51</v>
      </c>
      <c r="I206" s="270">
        <v>43956</v>
      </c>
      <c r="J206" s="270">
        <v>45051</v>
      </c>
      <c r="K206" s="240">
        <v>271889.13</v>
      </c>
      <c r="L206" s="135"/>
      <c r="M206" s="136">
        <f>AX206</f>
        <v>7920</v>
      </c>
      <c r="N206" s="136">
        <f>L206+M206</f>
        <v>7920</v>
      </c>
      <c r="O206" s="137">
        <f>K206-N206</f>
        <v>263969.13</v>
      </c>
      <c r="P206" s="135">
        <f>N206</f>
        <v>7920</v>
      </c>
      <c r="Q206" s="136">
        <f>BK206</f>
        <v>351328.74</v>
      </c>
      <c r="R206" s="136">
        <f>P206+Q206</f>
        <v>359248.74</v>
      </c>
      <c r="S206" s="137">
        <f>K206-R206</f>
        <v>-87359.609999999986</v>
      </c>
      <c r="T206" s="135">
        <f>R206</f>
        <v>359248.74</v>
      </c>
      <c r="U206" s="136">
        <f>BX206</f>
        <v>37461.43</v>
      </c>
      <c r="V206" s="136">
        <f>T206+U206</f>
        <v>396710.17</v>
      </c>
      <c r="W206" s="207">
        <f>K206-V206</f>
        <v>-124821.03999999998</v>
      </c>
      <c r="X206" s="135"/>
      <c r="Y206" s="136">
        <f>CK206</f>
        <v>240572.42999999996</v>
      </c>
      <c r="Z206" s="136"/>
      <c r="AA206" s="137">
        <f>K206-Z206</f>
        <v>271889.13</v>
      </c>
      <c r="AB206" s="171">
        <v>0</v>
      </c>
      <c r="AC206" s="46">
        <v>36</v>
      </c>
      <c r="AD206" s="46" t="s">
        <v>1304</v>
      </c>
      <c r="AE206" s="46">
        <v>0</v>
      </c>
      <c r="AF206" s="46">
        <v>0</v>
      </c>
      <c r="AG206" s="46" t="s">
        <v>53</v>
      </c>
      <c r="AH206" s="46" t="s">
        <v>53</v>
      </c>
      <c r="AI206" s="46" t="s">
        <v>53</v>
      </c>
      <c r="AJ206" s="46" t="s">
        <v>54</v>
      </c>
      <c r="AK206" s="33" t="s">
        <v>70</v>
      </c>
      <c r="AL206" s="15">
        <f>905+7015</f>
        <v>7920</v>
      </c>
      <c r="AM206" s="15"/>
      <c r="AN206" s="15"/>
      <c r="AO206" s="15"/>
      <c r="AP206" s="15"/>
      <c r="AQ206" s="15"/>
      <c r="AR206" s="15"/>
      <c r="AS206" s="108"/>
      <c r="AT206" s="15"/>
      <c r="AU206" s="15"/>
      <c r="AV206" s="15">
        <v>0</v>
      </c>
      <c r="AW206" s="15">
        <v>0</v>
      </c>
      <c r="AX206" s="125">
        <f>SUM(AL206:AW206)</f>
        <v>7920</v>
      </c>
      <c r="AY206" s="15">
        <v>7015</v>
      </c>
      <c r="AZ206" s="15">
        <v>0</v>
      </c>
      <c r="BA206" s="15">
        <f>25865.44+37461.43+37461.43</f>
        <v>100788.29999999999</v>
      </c>
      <c r="BB206" s="15">
        <v>37461.43</v>
      </c>
      <c r="BC206" s="15">
        <v>0</v>
      </c>
      <c r="BD206" s="15">
        <v>37461.43</v>
      </c>
      <c r="BE206" s="15">
        <v>0</v>
      </c>
      <c r="BF206" s="15">
        <v>0</v>
      </c>
      <c r="BG206" s="15">
        <v>0</v>
      </c>
      <c r="BH206" s="15">
        <f>(23419.93*2)+(37461.43*2)</f>
        <v>121762.72</v>
      </c>
      <c r="BI206" s="15">
        <f>23419.93*2</f>
        <v>46839.86</v>
      </c>
      <c r="BJ206" s="15">
        <v>0</v>
      </c>
      <c r="BK206" s="125">
        <f>SUM(AY206:BJ206)</f>
        <v>351328.74</v>
      </c>
      <c r="BL206" s="15"/>
      <c r="BM206" s="15"/>
      <c r="BN206" s="15"/>
      <c r="BO206" s="15"/>
      <c r="BP206" s="15"/>
      <c r="BQ206" s="15"/>
      <c r="BR206" s="15"/>
      <c r="BS206" s="15"/>
      <c r="BT206" s="15"/>
      <c r="BU206" s="15"/>
      <c r="BV206" s="15"/>
      <c r="BW206" s="15">
        <v>37461.43</v>
      </c>
      <c r="BX206" s="211">
        <f>SUM(BL206:BW206)</f>
        <v>37461.43</v>
      </c>
      <c r="BY206" s="245">
        <f>37896.67+37896.68</f>
        <v>75793.350000000006</v>
      </c>
      <c r="BZ206" s="42"/>
      <c r="CA206" s="42">
        <v>41194.769999999997</v>
      </c>
      <c r="CB206" s="42"/>
      <c r="CC206" s="42">
        <v>41194.769999999997</v>
      </c>
      <c r="CD206" s="42">
        <v>41194.769999999997</v>
      </c>
      <c r="CE206" s="42"/>
      <c r="CF206" s="42">
        <v>41194.769999999997</v>
      </c>
      <c r="CG206" s="42"/>
      <c r="CH206" s="42"/>
      <c r="CI206" s="42"/>
      <c r="CJ206" s="42"/>
      <c r="CK206" s="279">
        <f>SUM(BY206:CJ206)</f>
        <v>240572.42999999996</v>
      </c>
      <c r="DC206" s="1"/>
      <c r="DD206" s="1"/>
      <c r="DE206" s="1"/>
      <c r="DF206" s="1"/>
      <c r="DG206" s="1"/>
      <c r="DH206" s="1"/>
      <c r="DI206" s="1"/>
      <c r="DJ206" s="1"/>
      <c r="DK206" s="1"/>
      <c r="DL206" s="1"/>
      <c r="DM206" s="1"/>
      <c r="DN206" s="1"/>
      <c r="DO206" s="1">
        <f t="shared" si="42"/>
        <v>0</v>
      </c>
    </row>
    <row r="207" spans="1:120" s="19" customFormat="1" ht="19.899999999999999" customHeight="1" x14ac:dyDescent="0.2">
      <c r="A207" s="4" t="s">
        <v>435</v>
      </c>
      <c r="B207" s="33" t="s">
        <v>107</v>
      </c>
      <c r="C207" s="1" t="s">
        <v>436</v>
      </c>
      <c r="D207" s="1" t="s">
        <v>437</v>
      </c>
      <c r="E207" s="1" t="s">
        <v>438</v>
      </c>
      <c r="F207" s="1" t="s">
        <v>49</v>
      </c>
      <c r="G207" s="33" t="s">
        <v>362</v>
      </c>
      <c r="H207" s="33" t="s">
        <v>363</v>
      </c>
      <c r="I207" s="58">
        <v>44285</v>
      </c>
      <c r="J207" s="58">
        <v>44650</v>
      </c>
      <c r="K207" s="198">
        <v>402500</v>
      </c>
      <c r="L207" s="135"/>
      <c r="M207" s="136">
        <f>AX207</f>
        <v>0</v>
      </c>
      <c r="N207" s="136">
        <f>L207+M207</f>
        <v>0</v>
      </c>
      <c r="O207" s="137">
        <f>K207-N207</f>
        <v>402500</v>
      </c>
      <c r="P207" s="135">
        <f>N207</f>
        <v>0</v>
      </c>
      <c r="Q207" s="136">
        <f>BK207</f>
        <v>48300</v>
      </c>
      <c r="R207" s="136">
        <f>P207+Q207</f>
        <v>48300</v>
      </c>
      <c r="S207" s="137">
        <f>K207-R207</f>
        <v>354200</v>
      </c>
      <c r="T207" s="135">
        <f>R207</f>
        <v>48300</v>
      </c>
      <c r="U207" s="136">
        <f>BX207</f>
        <v>0</v>
      </c>
      <c r="V207" s="136">
        <f>T207+U207</f>
        <v>48300</v>
      </c>
      <c r="W207" s="207">
        <f>K207-V207</f>
        <v>354200</v>
      </c>
      <c r="X207" s="135"/>
      <c r="Y207" s="136">
        <f>CK207</f>
        <v>0</v>
      </c>
      <c r="Z207" s="136"/>
      <c r="AA207" s="137">
        <f>K207-Z207</f>
        <v>402500</v>
      </c>
      <c r="AB207" s="171">
        <v>0</v>
      </c>
      <c r="AC207" s="46">
        <v>12</v>
      </c>
      <c r="AD207" s="46" t="s">
        <v>517</v>
      </c>
      <c r="AE207" s="46">
        <v>0</v>
      </c>
      <c r="AF207" s="46">
        <v>0</v>
      </c>
      <c r="AG207" s="46" t="s">
        <v>53</v>
      </c>
      <c r="AH207" s="46" t="s">
        <v>53</v>
      </c>
      <c r="AI207" s="46" t="s">
        <v>53</v>
      </c>
      <c r="AJ207" s="46" t="s">
        <v>54</v>
      </c>
      <c r="AK207" s="33" t="s">
        <v>70</v>
      </c>
      <c r="AL207" s="15"/>
      <c r="AM207" s="15"/>
      <c r="AN207" s="15"/>
      <c r="AO207" s="15"/>
      <c r="AP207" s="15"/>
      <c r="AQ207" s="15"/>
      <c r="AR207" s="15"/>
      <c r="AS207" s="108"/>
      <c r="AT207" s="15"/>
      <c r="AU207" s="15"/>
      <c r="AV207" s="15"/>
      <c r="AW207" s="15"/>
      <c r="AX207" s="102">
        <f>SUM(AL207:AW207)</f>
        <v>0</v>
      </c>
      <c r="AY207" s="15"/>
      <c r="AZ207" s="15"/>
      <c r="BA207" s="15"/>
      <c r="BB207" s="15"/>
      <c r="BC207" s="15"/>
      <c r="BD207" s="15"/>
      <c r="BE207" s="15"/>
      <c r="BF207" s="15"/>
      <c r="BG207" s="15">
        <v>0</v>
      </c>
      <c r="BH207" s="15">
        <v>0</v>
      </c>
      <c r="BI207" s="15">
        <v>0</v>
      </c>
      <c r="BJ207" s="15">
        <v>48300</v>
      </c>
      <c r="BK207" s="125">
        <f>SUM(AY207:BJ207)</f>
        <v>48300</v>
      </c>
      <c r="BL207" s="15"/>
      <c r="BM207" s="15"/>
      <c r="BN207" s="15"/>
      <c r="BO207" s="15"/>
      <c r="BP207" s="15"/>
      <c r="BQ207" s="15"/>
      <c r="BR207" s="15"/>
      <c r="BS207" s="15"/>
      <c r="BT207" s="15"/>
      <c r="BU207" s="15"/>
      <c r="BV207" s="15"/>
      <c r="BW207" s="15"/>
      <c r="BX207" s="211">
        <f>SUM(BL207:BW207)</f>
        <v>0</v>
      </c>
      <c r="BY207" s="241">
        <v>0</v>
      </c>
      <c r="BZ207" s="42"/>
      <c r="CA207" s="42"/>
      <c r="CB207" s="42"/>
      <c r="CC207" s="42"/>
      <c r="CD207" s="42"/>
      <c r="CE207" s="42"/>
      <c r="CF207" s="42"/>
      <c r="CG207" s="42"/>
      <c r="CH207" s="42"/>
      <c r="CI207" s="42"/>
      <c r="CJ207" s="42"/>
      <c r="CK207" s="279">
        <f>SUM(BY207:CJ207)</f>
        <v>0</v>
      </c>
      <c r="DC207" s="1"/>
      <c r="DD207" s="1"/>
      <c r="DE207" s="1"/>
      <c r="DF207" s="1"/>
      <c r="DG207" s="1"/>
      <c r="DH207" s="1"/>
      <c r="DI207" s="1"/>
      <c r="DJ207" s="1"/>
      <c r="DK207" s="1"/>
      <c r="DL207" s="1"/>
      <c r="DM207" s="1"/>
      <c r="DN207" s="1"/>
      <c r="DO207" s="1">
        <f t="shared" si="42"/>
        <v>0</v>
      </c>
    </row>
    <row r="208" spans="1:120" s="19" customFormat="1" ht="25.9" customHeight="1" x14ac:dyDescent="0.2">
      <c r="A208" s="96" t="s">
        <v>488</v>
      </c>
      <c r="B208" s="96" t="s">
        <v>107</v>
      </c>
      <c r="C208" s="96" t="s">
        <v>489</v>
      </c>
      <c r="D208" s="96" t="s">
        <v>490</v>
      </c>
      <c r="E208" s="47" t="s">
        <v>491</v>
      </c>
      <c r="F208" s="109" t="s">
        <v>49</v>
      </c>
      <c r="G208" s="48" t="s">
        <v>492</v>
      </c>
      <c r="H208" s="47" t="s">
        <v>329</v>
      </c>
      <c r="I208" s="110">
        <v>42663</v>
      </c>
      <c r="J208" s="110">
        <v>43758</v>
      </c>
      <c r="K208" s="185" t="s">
        <v>493</v>
      </c>
      <c r="L208" s="180"/>
      <c r="M208" s="25">
        <f>AT208</f>
        <v>36939.370000000003</v>
      </c>
      <c r="N208" s="181">
        <f>M208+L208</f>
        <v>36939.370000000003</v>
      </c>
      <c r="O208" s="180">
        <f>N208</f>
        <v>36939.370000000003</v>
      </c>
      <c r="P208" s="25">
        <f>BG208</f>
        <v>22545.5</v>
      </c>
      <c r="Q208" s="181">
        <f>O208+P208</f>
        <v>59484.87</v>
      </c>
      <c r="R208" s="180">
        <f>Q208</f>
        <v>59484.87</v>
      </c>
      <c r="S208" s="25">
        <f>BT208</f>
        <v>3604</v>
      </c>
      <c r="T208" s="235">
        <f>R208+S208</f>
        <v>63088.87</v>
      </c>
      <c r="U208" s="25">
        <f>T208</f>
        <v>63088.87</v>
      </c>
      <c r="V208" s="25">
        <f>CG208</f>
        <v>0</v>
      </c>
      <c r="W208" s="25"/>
      <c r="X208" s="158">
        <v>0</v>
      </c>
      <c r="Y208" s="119">
        <v>36</v>
      </c>
      <c r="Z208" s="119" t="s">
        <v>517</v>
      </c>
      <c r="AA208" s="119">
        <v>0</v>
      </c>
      <c r="AB208" s="119">
        <v>0</v>
      </c>
      <c r="AC208" s="59" t="s">
        <v>53</v>
      </c>
      <c r="AD208" s="59" t="s">
        <v>53</v>
      </c>
      <c r="AE208" s="59" t="s">
        <v>53</v>
      </c>
      <c r="AF208" s="59" t="s">
        <v>54</v>
      </c>
      <c r="AG208" s="48" t="s">
        <v>70</v>
      </c>
      <c r="AH208" s="96">
        <v>499</v>
      </c>
      <c r="AI208" s="96">
        <v>499</v>
      </c>
      <c r="AJ208" s="96">
        <v>499</v>
      </c>
      <c r="AK208" s="96">
        <v>499</v>
      </c>
      <c r="AL208" s="96">
        <v>499</v>
      </c>
      <c r="AM208" s="96">
        <v>499</v>
      </c>
      <c r="AN208" s="96">
        <v>26399.18</v>
      </c>
      <c r="AO208" s="96">
        <v>499</v>
      </c>
      <c r="AP208" s="96">
        <v>499</v>
      </c>
      <c r="AQ208" s="96">
        <v>499</v>
      </c>
      <c r="AR208" s="96">
        <v>499</v>
      </c>
      <c r="AS208" s="96">
        <v>5550.19</v>
      </c>
      <c r="AT208" s="97">
        <f>SUBTOTAL(9,AG208:AS208)</f>
        <v>36939.370000000003</v>
      </c>
      <c r="AU208" s="98">
        <f>499+499</f>
        <v>998</v>
      </c>
      <c r="AV208" s="98">
        <f>499</f>
        <v>499</v>
      </c>
      <c r="AW208" s="98">
        <f>499+499</f>
        <v>998</v>
      </c>
      <c r="AX208" s="98">
        <v>499</v>
      </c>
      <c r="AY208" s="98">
        <v>499</v>
      </c>
      <c r="AZ208" s="98">
        <f>499</f>
        <v>499</v>
      </c>
      <c r="BA208" s="98">
        <f>499*2</f>
        <v>998</v>
      </c>
      <c r="BB208" s="98">
        <v>499</v>
      </c>
      <c r="BC208" s="98">
        <f>499+2760</f>
        <v>3259</v>
      </c>
      <c r="BD208" s="98">
        <f>8659.5+1035+1035+499</f>
        <v>11228.5</v>
      </c>
      <c r="BE208" s="98">
        <f>2070+499</f>
        <v>2569</v>
      </c>
      <c r="BF208" s="98"/>
      <c r="BG208" s="86">
        <f>SUM(AU208:BF208)</f>
        <v>22545.5</v>
      </c>
      <c r="BH208" s="96"/>
      <c r="BI208" s="96"/>
      <c r="BJ208" s="96">
        <v>3105</v>
      </c>
      <c r="BK208" s="96"/>
      <c r="BL208" s="60"/>
      <c r="BM208" s="60"/>
      <c r="BN208" s="96"/>
      <c r="BO208" s="96"/>
      <c r="BP208" s="60">
        <v>499</v>
      </c>
      <c r="BQ208" s="96"/>
      <c r="BR208" s="99"/>
      <c r="BS208" s="96"/>
      <c r="BT208" s="123">
        <f>SUM(BH208:BS208)</f>
        <v>3604</v>
      </c>
      <c r="BU208" s="42">
        <v>0</v>
      </c>
      <c r="BV208" s="42"/>
      <c r="BW208" s="42"/>
      <c r="BX208" s="42"/>
      <c r="BY208" s="25"/>
      <c r="BZ208" s="25"/>
      <c r="CA208" s="25"/>
      <c r="CB208" s="25"/>
      <c r="CC208" s="25"/>
      <c r="CD208" s="25"/>
      <c r="CE208" s="25"/>
      <c r="CF208" s="25"/>
      <c r="CG208" s="25">
        <f>SUM(BU208:CF208)</f>
        <v>0</v>
      </c>
      <c r="DC208" s="1"/>
      <c r="DD208" s="1"/>
      <c r="DE208" s="1"/>
      <c r="DF208" s="1"/>
      <c r="DG208" s="1"/>
      <c r="DH208" s="1"/>
      <c r="DI208" s="1"/>
      <c r="DJ208" s="1"/>
      <c r="DK208" s="1"/>
      <c r="DL208" s="1"/>
      <c r="DM208" s="1"/>
      <c r="DN208" s="1"/>
      <c r="DO208" s="1">
        <f t="shared" si="42"/>
        <v>0</v>
      </c>
    </row>
    <row r="209" spans="1:119" s="19" customFormat="1" ht="19.899999999999999" customHeight="1" x14ac:dyDescent="0.2">
      <c r="A209" s="4" t="s">
        <v>350</v>
      </c>
      <c r="B209" s="33" t="s">
        <v>107</v>
      </c>
      <c r="C209" s="1" t="s">
        <v>355</v>
      </c>
      <c r="D209" s="120" t="s">
        <v>356</v>
      </c>
      <c r="E209" s="1" t="s">
        <v>357</v>
      </c>
      <c r="F209" s="1" t="s">
        <v>49</v>
      </c>
      <c r="G209" s="33" t="s">
        <v>354</v>
      </c>
      <c r="H209" s="33" t="s">
        <v>316</v>
      </c>
      <c r="I209" s="58">
        <v>43614</v>
      </c>
      <c r="J209" s="58">
        <v>44710</v>
      </c>
      <c r="K209" s="185" t="s">
        <v>493</v>
      </c>
      <c r="L209" s="135"/>
      <c r="M209" s="25">
        <f>AT209</f>
        <v>385761.73</v>
      </c>
      <c r="N209" s="181">
        <f>M209+L209</f>
        <v>385761.73</v>
      </c>
      <c r="O209" s="180">
        <f>N209</f>
        <v>385761.73</v>
      </c>
      <c r="P209" s="25">
        <f>BG209</f>
        <v>482615.30999999994</v>
      </c>
      <c r="Q209" s="181">
        <f>O209+P209</f>
        <v>868377.03999999992</v>
      </c>
      <c r="R209" s="180">
        <f>Q209</f>
        <v>868377.03999999992</v>
      </c>
      <c r="S209" s="25">
        <f>BT209</f>
        <v>48376.68</v>
      </c>
      <c r="T209" s="207"/>
      <c r="U209" s="25">
        <f>T209</f>
        <v>0</v>
      </c>
      <c r="V209" s="25">
        <f>CG209</f>
        <v>274720.18</v>
      </c>
      <c r="W209" s="136"/>
      <c r="X209" s="171">
        <v>0</v>
      </c>
      <c r="Y209" s="46">
        <v>36</v>
      </c>
      <c r="Z209" s="46" t="s">
        <v>517</v>
      </c>
      <c r="AA209" s="46">
        <v>0</v>
      </c>
      <c r="AB209" s="46">
        <v>0</v>
      </c>
      <c r="AC209" s="46" t="s">
        <v>53</v>
      </c>
      <c r="AD209" s="46" t="s">
        <v>53</v>
      </c>
      <c r="AE209" s="46" t="s">
        <v>53</v>
      </c>
      <c r="AF209" s="46" t="s">
        <v>54</v>
      </c>
      <c r="AG209" s="33" t="s">
        <v>83</v>
      </c>
      <c r="AH209" s="15">
        <f>29537.58+31092.68+33186.04+35313.09+35576.53+30025.51+33789.86</f>
        <v>228521.28999999998</v>
      </c>
      <c r="AI209" s="15">
        <v>22410</v>
      </c>
      <c r="AJ209" s="15">
        <v>0</v>
      </c>
      <c r="AK209" s="15">
        <v>0</v>
      </c>
      <c r="AL209" s="15">
        <v>0</v>
      </c>
      <c r="AM209" s="15">
        <v>0</v>
      </c>
      <c r="AN209" s="15">
        <f>32628.19+34315.18+31069.92</f>
        <v>98013.29</v>
      </c>
      <c r="AO209" s="108">
        <v>0</v>
      </c>
      <c r="AP209" s="15">
        <v>0</v>
      </c>
      <c r="AQ209" s="15">
        <v>0</v>
      </c>
      <c r="AR209" s="15">
        <v>0</v>
      </c>
      <c r="AS209" s="15">
        <v>36817.15</v>
      </c>
      <c r="AT209" s="125">
        <f>SUM(AH209:AS209)</f>
        <v>385761.73</v>
      </c>
      <c r="AU209" s="15">
        <v>36817.15</v>
      </c>
      <c r="AV209" s="15">
        <v>45354.44</v>
      </c>
      <c r="AW209" s="15">
        <v>0</v>
      </c>
      <c r="AX209" s="15">
        <f>44417.25+41262.95</f>
        <v>85680.2</v>
      </c>
      <c r="AY209" s="15">
        <v>0</v>
      </c>
      <c r="AZ209" s="15">
        <f>40407.97+37141.3</f>
        <v>77549.27</v>
      </c>
      <c r="BA209" s="15">
        <v>0</v>
      </c>
      <c r="BB209" s="15">
        <v>0</v>
      </c>
      <c r="BC209" s="15">
        <f>40114.35+36256.5+35831.69</f>
        <v>112202.54000000001</v>
      </c>
      <c r="BD209" s="15">
        <v>0</v>
      </c>
      <c r="BE209" s="15">
        <v>0</v>
      </c>
      <c r="BF209" s="15">
        <f>41119.03+44400.18+39492.5</f>
        <v>125011.70999999999</v>
      </c>
      <c r="BG209" s="125">
        <f>SUM(AU209:BF209)</f>
        <v>482615.30999999994</v>
      </c>
      <c r="BH209" s="15"/>
      <c r="BI209" s="15"/>
      <c r="BJ209" s="15"/>
      <c r="BK209" s="15"/>
      <c r="BL209" s="15"/>
      <c r="BM209" s="15"/>
      <c r="BN209" s="15"/>
      <c r="BO209" s="15"/>
      <c r="BP209" s="15"/>
      <c r="BQ209" s="15"/>
      <c r="BR209" s="15"/>
      <c r="BS209" s="15">
        <v>48376.68</v>
      </c>
      <c r="BT209" s="124">
        <f>SUM(BH209:BS209)</f>
        <v>48376.68</v>
      </c>
      <c r="BU209" s="42">
        <v>47649.81</v>
      </c>
      <c r="BV209" s="42"/>
      <c r="BW209" s="42">
        <v>40529.589999999997</v>
      </c>
      <c r="BX209" s="42">
        <v>40071.58</v>
      </c>
      <c r="BY209" s="25">
        <v>39112.67</v>
      </c>
      <c r="BZ209" s="25">
        <v>38876.959999999999</v>
      </c>
      <c r="CA209" s="25">
        <v>36774.29</v>
      </c>
      <c r="CB209" s="25">
        <v>31705.279999999999</v>
      </c>
      <c r="CC209" s="25"/>
      <c r="CD209" s="25"/>
      <c r="CE209" s="25"/>
      <c r="CF209" s="25"/>
      <c r="CG209" s="25">
        <f>SUM(BU209:CF209)</f>
        <v>274720.18</v>
      </c>
      <c r="DC209" s="1"/>
      <c r="DD209" s="1"/>
      <c r="DE209" s="1"/>
      <c r="DF209" s="1"/>
      <c r="DG209" s="1"/>
      <c r="DH209" s="1"/>
      <c r="DI209" s="1"/>
      <c r="DJ209" s="1"/>
      <c r="DK209" s="1"/>
      <c r="DL209" s="1"/>
      <c r="DM209" s="1"/>
      <c r="DN209" s="1"/>
      <c r="DO209" s="1">
        <f t="shared" si="42"/>
        <v>0</v>
      </c>
    </row>
    <row r="210" spans="1:119" s="19" customFormat="1" ht="19.899999999999999" customHeight="1" x14ac:dyDescent="0.2">
      <c r="A210" s="4" t="s">
        <v>398</v>
      </c>
      <c r="B210" s="33" t="s">
        <v>107</v>
      </c>
      <c r="C210" s="1" t="s">
        <v>399</v>
      </c>
      <c r="D210" s="1" t="s">
        <v>400</v>
      </c>
      <c r="E210" s="1" t="s">
        <v>401</v>
      </c>
      <c r="F210" s="1" t="s">
        <v>49</v>
      </c>
      <c r="G210" s="33" t="s">
        <v>328</v>
      </c>
      <c r="H210" s="33" t="s">
        <v>51</v>
      </c>
      <c r="I210" s="58">
        <v>43956</v>
      </c>
      <c r="J210" s="58">
        <v>44686</v>
      </c>
      <c r="K210" s="185" t="s">
        <v>493</v>
      </c>
      <c r="L210" s="135"/>
      <c r="M210" s="25">
        <f>AT210</f>
        <v>0</v>
      </c>
      <c r="N210" s="181">
        <f>M210+L210</f>
        <v>0</v>
      </c>
      <c r="O210" s="180">
        <f>N210</f>
        <v>0</v>
      </c>
      <c r="P210" s="25">
        <f>BG210</f>
        <v>6247202.5</v>
      </c>
      <c r="Q210" s="181">
        <f>O210+P210</f>
        <v>6247202.5</v>
      </c>
      <c r="R210" s="180">
        <f>Q210</f>
        <v>6247202.5</v>
      </c>
      <c r="S210" s="25">
        <f>BT210</f>
        <v>0</v>
      </c>
      <c r="T210" s="207"/>
      <c r="U210" s="25">
        <f>T210</f>
        <v>0</v>
      </c>
      <c r="V210" s="25">
        <f>CG210</f>
        <v>601183.19999999995</v>
      </c>
      <c r="W210" s="136"/>
      <c r="X210" s="171">
        <v>0</v>
      </c>
      <c r="Y210" s="46">
        <v>24</v>
      </c>
      <c r="Z210" s="46" t="s">
        <v>517</v>
      </c>
      <c r="AA210" s="46">
        <v>0</v>
      </c>
      <c r="AB210" s="46">
        <v>0</v>
      </c>
      <c r="AC210" s="46" t="s">
        <v>53</v>
      </c>
      <c r="AD210" s="46" t="s">
        <v>53</v>
      </c>
      <c r="AE210" s="46" t="s">
        <v>53</v>
      </c>
      <c r="AF210" s="46" t="s">
        <v>54</v>
      </c>
      <c r="AG210" s="33" t="s">
        <v>70</v>
      </c>
      <c r="AH210" s="15"/>
      <c r="AI210" s="15"/>
      <c r="AJ210" s="15"/>
      <c r="AK210" s="15"/>
      <c r="AL210" s="15"/>
      <c r="AM210" s="15"/>
      <c r="AN210" s="15"/>
      <c r="AO210" s="108"/>
      <c r="AP210" s="15"/>
      <c r="AQ210" s="15"/>
      <c r="AR210" s="15"/>
      <c r="AS210" s="15"/>
      <c r="AT210" s="125">
        <f>SUM(AH210:AS210)</f>
        <v>0</v>
      </c>
      <c r="AU210" s="15">
        <v>0</v>
      </c>
      <c r="AV210" s="15">
        <v>0</v>
      </c>
      <c r="AW210" s="15">
        <v>0</v>
      </c>
      <c r="AX210" s="15">
        <v>0</v>
      </c>
      <c r="AY210" s="15">
        <v>0</v>
      </c>
      <c r="AZ210" s="15">
        <v>499502.5</v>
      </c>
      <c r="BA210" s="15">
        <v>0</v>
      </c>
      <c r="BB210" s="15">
        <v>0</v>
      </c>
      <c r="BC210" s="15">
        <v>0</v>
      </c>
      <c r="BD210" s="15">
        <v>2326450</v>
      </c>
      <c r="BE210" s="1"/>
      <c r="BF210" s="15">
        <v>3421250</v>
      </c>
      <c r="BG210" s="125">
        <f>SUM(AU210:BF210)</f>
        <v>6247202.5</v>
      </c>
      <c r="BH210" s="15"/>
      <c r="BI210" s="15"/>
      <c r="BJ210" s="15"/>
      <c r="BK210" s="15"/>
      <c r="BL210" s="15"/>
      <c r="BM210" s="15"/>
      <c r="BN210" s="15"/>
      <c r="BO210" s="15"/>
      <c r="BP210" s="15"/>
      <c r="BQ210" s="15"/>
      <c r="BR210" s="15"/>
      <c r="BS210" s="15"/>
      <c r="BT210" s="124">
        <f>SUM(BH210:BS210)</f>
        <v>0</v>
      </c>
      <c r="BU210" s="42"/>
      <c r="BV210" s="42"/>
      <c r="BW210" s="42"/>
      <c r="BX210" s="42"/>
      <c r="BY210" s="25">
        <v>403707.5</v>
      </c>
      <c r="BZ210" s="25">
        <v>197475.7</v>
      </c>
      <c r="CA210" s="25"/>
      <c r="CB210" s="25"/>
      <c r="CC210" s="25"/>
      <c r="CD210" s="25"/>
      <c r="CE210" s="25"/>
      <c r="CF210" s="25"/>
      <c r="CG210" s="25">
        <f>SUM(BU210:CF210)</f>
        <v>601183.19999999995</v>
      </c>
      <c r="DC210" s="1"/>
      <c r="DD210" s="1"/>
      <c r="DE210" s="1"/>
      <c r="DF210" s="1"/>
      <c r="DG210" s="1"/>
      <c r="DH210" s="1"/>
      <c r="DI210" s="1"/>
      <c r="DJ210" s="1"/>
      <c r="DK210" s="1"/>
      <c r="DL210" s="1"/>
      <c r="DM210" s="1"/>
      <c r="DN210" s="1"/>
      <c r="DO210" s="1">
        <f t="shared" si="42"/>
        <v>0</v>
      </c>
    </row>
    <row r="211" spans="1:119" s="13" customFormat="1" ht="15.6" customHeight="1" x14ac:dyDescent="0.2">
      <c r="A211" s="859" t="s">
        <v>56</v>
      </c>
      <c r="B211" s="859" t="s">
        <v>57</v>
      </c>
      <c r="C211" s="859" t="s">
        <v>58</v>
      </c>
      <c r="D211" s="276" t="s">
        <v>59</v>
      </c>
      <c r="E211" s="47" t="s">
        <v>60</v>
      </c>
      <c r="F211" s="47" t="s">
        <v>49</v>
      </c>
      <c r="G211" s="860" t="s">
        <v>50</v>
      </c>
      <c r="H211" s="860" t="s">
        <v>61</v>
      </c>
      <c r="I211" s="267">
        <v>43146</v>
      </c>
      <c r="J211" s="64">
        <v>43327</v>
      </c>
      <c r="K211" s="273">
        <v>1179054.1200000001</v>
      </c>
      <c r="L211" s="150">
        <v>496604.39</v>
      </c>
      <c r="M211" s="18">
        <f>AX211</f>
        <v>251195.489</v>
      </c>
      <c r="N211" s="18">
        <f>L211+M211</f>
        <v>747799.87899999996</v>
      </c>
      <c r="O211" s="149">
        <f>K211-N211</f>
        <v>431254.24100000015</v>
      </c>
      <c r="P211" s="154">
        <f>N211</f>
        <v>747799.87899999996</v>
      </c>
      <c r="Q211" s="67">
        <f>BK211</f>
        <v>0</v>
      </c>
      <c r="R211" s="61">
        <f>P211+Q211</f>
        <v>747799.87899999996</v>
      </c>
      <c r="S211" s="155">
        <f>K211-R211</f>
        <v>431254.24100000015</v>
      </c>
      <c r="T211" s="159">
        <f>R211</f>
        <v>747799.87899999996</v>
      </c>
      <c r="U211" s="61">
        <f>BX211</f>
        <v>0</v>
      </c>
      <c r="V211" s="61">
        <f>T211+U211</f>
        <v>747799.87899999996</v>
      </c>
      <c r="W211" s="215">
        <f>K211-V211</f>
        <v>431254.24100000015</v>
      </c>
      <c r="X211" s="18">
        <f>V211</f>
        <v>747799.87899999996</v>
      </c>
      <c r="Y211" s="18">
        <f>CK211</f>
        <v>0</v>
      </c>
      <c r="Z211" s="18">
        <f>X211+Y211</f>
        <v>747799.87899999996</v>
      </c>
      <c r="AA211" s="18">
        <f>K211-Z211</f>
        <v>431254.24100000015</v>
      </c>
      <c r="AB211" s="158">
        <v>0</v>
      </c>
      <c r="AC211" s="59">
        <v>6</v>
      </c>
      <c r="AD211" s="863" t="s">
        <v>517</v>
      </c>
      <c r="AE211" s="69">
        <v>0</v>
      </c>
      <c r="AF211" s="69">
        <v>0</v>
      </c>
      <c r="AG211" s="69" t="s">
        <v>53</v>
      </c>
      <c r="AH211" s="69" t="s">
        <v>53</v>
      </c>
      <c r="AI211" s="69" t="s">
        <v>53</v>
      </c>
      <c r="AJ211" s="69" t="s">
        <v>54</v>
      </c>
      <c r="AK211" s="866" t="s">
        <v>70</v>
      </c>
      <c r="AL211" s="49"/>
      <c r="AM211" s="49"/>
      <c r="AN211" s="49"/>
      <c r="AO211" s="49"/>
      <c r="AP211" s="49"/>
      <c r="AQ211" s="49"/>
      <c r="AR211" s="49"/>
      <c r="AS211" s="49"/>
      <c r="AT211" s="49">
        <v>251195.489</v>
      </c>
      <c r="AU211" s="49"/>
      <c r="AV211" s="49"/>
      <c r="AW211" s="49"/>
      <c r="AX211" s="86">
        <f>SUBTOTAL(9,AL211:AW211)</f>
        <v>251195.489</v>
      </c>
      <c r="AY211" s="50"/>
      <c r="AZ211" s="50"/>
      <c r="BA211" s="50"/>
      <c r="BB211" s="50"/>
      <c r="BC211" s="50"/>
      <c r="BD211" s="50"/>
      <c r="BE211" s="50"/>
      <c r="BF211" s="50"/>
      <c r="BG211" s="50"/>
      <c r="BH211" s="50"/>
      <c r="BI211" s="50"/>
      <c r="BJ211" s="50"/>
      <c r="BK211" s="86">
        <f>SUM(AY211:BJ211)</f>
        <v>0</v>
      </c>
      <c r="BL211" s="51"/>
      <c r="BM211" s="51"/>
      <c r="BN211" s="51"/>
      <c r="BO211" s="51"/>
      <c r="BP211" s="51"/>
      <c r="BQ211" s="51"/>
      <c r="BR211" s="51"/>
      <c r="BS211" s="51"/>
      <c r="BT211" s="51"/>
      <c r="BU211" s="51"/>
      <c r="BV211" s="51"/>
      <c r="BW211" s="53"/>
      <c r="BX211" s="87">
        <f>SUM(BL211:BW211)</f>
        <v>0</v>
      </c>
      <c r="BY211" s="228"/>
      <c r="BZ211" s="228"/>
      <c r="CA211" s="228"/>
      <c r="CB211" s="228"/>
      <c r="CC211" s="228"/>
      <c r="CD211" s="228"/>
      <c r="CE211" s="228"/>
      <c r="CF211" s="228"/>
      <c r="CG211" s="228"/>
      <c r="CH211" s="228"/>
      <c r="CI211" s="228"/>
      <c r="CJ211" s="228"/>
      <c r="CK211" s="112">
        <f>SUM(BY211:CJ211)</f>
        <v>0</v>
      </c>
      <c r="DC211" s="2"/>
      <c r="DD211" s="2"/>
      <c r="DE211" s="2"/>
      <c r="DF211" s="2"/>
      <c r="DG211" s="2"/>
      <c r="DH211" s="2"/>
      <c r="DI211" s="2"/>
      <c r="DJ211" s="2"/>
      <c r="DK211" s="2"/>
      <c r="DL211" s="2"/>
      <c r="DM211" s="2"/>
      <c r="DN211" s="2"/>
      <c r="DO211" s="2">
        <f t="shared" si="42"/>
        <v>0</v>
      </c>
    </row>
    <row r="212" spans="1:119" s="13" customFormat="1" ht="15.6" customHeight="1" x14ac:dyDescent="0.2">
      <c r="A212" s="859"/>
      <c r="B212" s="859"/>
      <c r="C212" s="859"/>
      <c r="D212" s="4" t="s">
        <v>62</v>
      </c>
      <c r="E212" s="4" t="s">
        <v>63</v>
      </c>
      <c r="F212" s="4" t="s">
        <v>49</v>
      </c>
      <c r="G212" s="860"/>
      <c r="H212" s="860"/>
      <c r="I212" s="5">
        <v>42558</v>
      </c>
      <c r="J212" s="14">
        <v>42923</v>
      </c>
      <c r="K212" s="195">
        <v>189000</v>
      </c>
      <c r="L212" s="150"/>
      <c r="M212" s="18">
        <f>AX212</f>
        <v>134532.97</v>
      </c>
      <c r="N212" s="18">
        <f>L212+M212</f>
        <v>134532.97</v>
      </c>
      <c r="O212" s="149">
        <f>K212-N212</f>
        <v>54467.03</v>
      </c>
      <c r="P212" s="154">
        <f>N212</f>
        <v>134532.97</v>
      </c>
      <c r="Q212" s="67">
        <f>BK212</f>
        <v>0</v>
      </c>
      <c r="R212" s="61">
        <f>P212+Q212</f>
        <v>134532.97</v>
      </c>
      <c r="S212" s="155">
        <f>K212-R212</f>
        <v>54467.03</v>
      </c>
      <c r="T212" s="159">
        <f>R212</f>
        <v>134532.97</v>
      </c>
      <c r="U212" s="61">
        <f>BX212</f>
        <v>0</v>
      </c>
      <c r="V212" s="61">
        <f>T212+U212</f>
        <v>134532.97</v>
      </c>
      <c r="W212" s="215">
        <f>K212-V212</f>
        <v>54467.03</v>
      </c>
      <c r="X212" s="18">
        <f>V212</f>
        <v>134532.97</v>
      </c>
      <c r="Y212" s="18">
        <f>CK212</f>
        <v>0</v>
      </c>
      <c r="Z212" s="18">
        <f>X212+Y212</f>
        <v>134532.97</v>
      </c>
      <c r="AA212" s="18">
        <f>K212-Z212</f>
        <v>54467.03</v>
      </c>
      <c r="AB212" s="158">
        <v>0</v>
      </c>
      <c r="AC212" s="44">
        <v>12</v>
      </c>
      <c r="AD212" s="864"/>
      <c r="AE212" s="69">
        <v>0</v>
      </c>
      <c r="AF212" s="69">
        <v>0</v>
      </c>
      <c r="AG212" s="69" t="s">
        <v>53</v>
      </c>
      <c r="AH212" s="69" t="s">
        <v>53</v>
      </c>
      <c r="AI212" s="69" t="s">
        <v>53</v>
      </c>
      <c r="AJ212" s="69" t="s">
        <v>54</v>
      </c>
      <c r="AK212" s="867"/>
      <c r="AL212" s="7"/>
      <c r="AM212" s="7"/>
      <c r="AN212" s="7"/>
      <c r="AO212" s="7"/>
      <c r="AP212" s="7"/>
      <c r="AQ212" s="7"/>
      <c r="AR212" s="7"/>
      <c r="AS212" s="7"/>
      <c r="AT212" s="7"/>
      <c r="AU212" s="7"/>
      <c r="AV212" s="7"/>
      <c r="AW212" s="7">
        <v>134532.97</v>
      </c>
      <c r="AX212" s="85">
        <f>SUBTOTAL(9,AL212:AW212)</f>
        <v>134532.97</v>
      </c>
      <c r="AY212" s="11"/>
      <c r="AZ212" s="11"/>
      <c r="BA212" s="11"/>
      <c r="BB212" s="11"/>
      <c r="BC212" s="11"/>
      <c r="BD212" s="11"/>
      <c r="BE212" s="11"/>
      <c r="BF212" s="11"/>
      <c r="BG212" s="11"/>
      <c r="BH212" s="11"/>
      <c r="BI212" s="11"/>
      <c r="BJ212" s="11"/>
      <c r="BK212" s="85">
        <f>SUM(AY212:BJ212)</f>
        <v>0</v>
      </c>
      <c r="BL212" s="40"/>
      <c r="BM212" s="40"/>
      <c r="BN212" s="40"/>
      <c r="BO212" s="40"/>
      <c r="BP212" s="40"/>
      <c r="BQ212" s="40"/>
      <c r="BR212" s="40"/>
      <c r="BS212" s="40"/>
      <c r="BT212" s="40"/>
      <c r="BU212" s="40"/>
      <c r="BV212" s="40"/>
      <c r="BW212" s="54"/>
      <c r="BX212" s="87">
        <f>SUM(BL212:BW212)</f>
        <v>0</v>
      </c>
      <c r="BY212" s="228"/>
      <c r="BZ212" s="228"/>
      <c r="CA212" s="228"/>
      <c r="CB212" s="228"/>
      <c r="CC212" s="228"/>
      <c r="CD212" s="228"/>
      <c r="CE212" s="228"/>
      <c r="CF212" s="228"/>
      <c r="CG212" s="228"/>
      <c r="CH212" s="228"/>
      <c r="CI212" s="228"/>
      <c r="CJ212" s="228"/>
      <c r="CK212" s="112">
        <f>SUM(BY212:CJ212)</f>
        <v>0</v>
      </c>
      <c r="DC212" s="2"/>
      <c r="DD212" s="2"/>
      <c r="DE212" s="2"/>
      <c r="DF212" s="2"/>
      <c r="DG212" s="2"/>
      <c r="DH212" s="2"/>
      <c r="DI212" s="2"/>
      <c r="DJ212" s="2"/>
      <c r="DK212" s="2"/>
      <c r="DL212" s="2"/>
      <c r="DM212" s="2"/>
      <c r="DN212" s="2"/>
      <c r="DO212" s="2">
        <f t="shared" si="42"/>
        <v>0</v>
      </c>
    </row>
    <row r="213" spans="1:119" s="13" customFormat="1" ht="12" x14ac:dyDescent="0.2">
      <c r="A213" s="859"/>
      <c r="B213" s="859"/>
      <c r="C213" s="859"/>
      <c r="D213" s="4" t="s">
        <v>64</v>
      </c>
      <c r="E213" s="4" t="s">
        <v>65</v>
      </c>
      <c r="F213" s="4" t="s">
        <v>49</v>
      </c>
      <c r="G213" s="860"/>
      <c r="H213" s="860"/>
      <c r="I213" s="5" t="s">
        <v>1301</v>
      </c>
      <c r="J213" s="5" t="s">
        <v>1301</v>
      </c>
      <c r="K213" s="196">
        <v>0</v>
      </c>
      <c r="L213" s="161">
        <v>0</v>
      </c>
      <c r="M213" s="18">
        <f>AX213</f>
        <v>180000.00099999999</v>
      </c>
      <c r="N213" s="18">
        <f>L213+M213</f>
        <v>180000.00099999999</v>
      </c>
      <c r="O213" s="149"/>
      <c r="P213" s="154">
        <f>N213</f>
        <v>180000.00099999999</v>
      </c>
      <c r="Q213" s="67">
        <f>BK213</f>
        <v>0</v>
      </c>
      <c r="R213" s="61">
        <f>P213+Q213</f>
        <v>180000.00099999999</v>
      </c>
      <c r="S213" s="155"/>
      <c r="T213" s="159">
        <f>R213</f>
        <v>180000.00099999999</v>
      </c>
      <c r="U213" s="61">
        <f>BX213</f>
        <v>0</v>
      </c>
      <c r="V213" s="61">
        <f>T213+U213</f>
        <v>180000.00099999999</v>
      </c>
      <c r="W213" s="215"/>
      <c r="X213" s="18">
        <f>V213</f>
        <v>180000.00099999999</v>
      </c>
      <c r="Y213" s="18">
        <f>CK213</f>
        <v>0</v>
      </c>
      <c r="Z213" s="18">
        <f>X213+Y213</f>
        <v>180000.00099999999</v>
      </c>
      <c r="AA213" s="18">
        <f>K213-Z213</f>
        <v>-180000.00099999999</v>
      </c>
      <c r="AB213" s="158">
        <v>0</v>
      </c>
      <c r="AC213" s="5" t="s">
        <v>1301</v>
      </c>
      <c r="AD213" s="865"/>
      <c r="AE213" s="69">
        <v>0</v>
      </c>
      <c r="AF213" s="69">
        <v>0</v>
      </c>
      <c r="AG213" s="69" t="s">
        <v>53</v>
      </c>
      <c r="AH213" s="69" t="s">
        <v>53</v>
      </c>
      <c r="AI213" s="69" t="s">
        <v>53</v>
      </c>
      <c r="AJ213" s="69" t="s">
        <v>54</v>
      </c>
      <c r="AK213" s="868"/>
      <c r="AL213" s="7"/>
      <c r="AM213" s="7"/>
      <c r="AN213" s="7"/>
      <c r="AO213" s="7"/>
      <c r="AP213" s="7"/>
      <c r="AQ213" s="7"/>
      <c r="AR213" s="7"/>
      <c r="AS213" s="7">
        <v>180000.00099999999</v>
      </c>
      <c r="AT213" s="7"/>
      <c r="AU213" s="7"/>
      <c r="AV213" s="7"/>
      <c r="AW213" s="7"/>
      <c r="AX213" s="85">
        <f>SUBTOTAL(9,AL213:AW213)</f>
        <v>180000.00099999999</v>
      </c>
      <c r="AY213" s="11"/>
      <c r="AZ213" s="11"/>
      <c r="BA213" s="11"/>
      <c r="BB213" s="11"/>
      <c r="BC213" s="11"/>
      <c r="BD213" s="11"/>
      <c r="BE213" s="11"/>
      <c r="BF213" s="11"/>
      <c r="BG213" s="11"/>
      <c r="BH213" s="11"/>
      <c r="BI213" s="11"/>
      <c r="BJ213" s="11"/>
      <c r="BK213" s="85">
        <f>SUM(AY213:BJ213)</f>
        <v>0</v>
      </c>
      <c r="BL213" s="40"/>
      <c r="BM213" s="40"/>
      <c r="BN213" s="40"/>
      <c r="BO213" s="40"/>
      <c r="BP213" s="40"/>
      <c r="BQ213" s="40"/>
      <c r="BR213" s="40"/>
      <c r="BS213" s="40"/>
      <c r="BT213" s="40"/>
      <c r="BU213" s="40"/>
      <c r="BV213" s="40"/>
      <c r="BW213" s="54"/>
      <c r="BX213" s="87">
        <f>SUM(BL213:BW213)</f>
        <v>0</v>
      </c>
      <c r="BY213" s="228"/>
      <c r="BZ213" s="228"/>
      <c r="CA213" s="228"/>
      <c r="CB213" s="228"/>
      <c r="CC213" s="228"/>
      <c r="CD213" s="228"/>
      <c r="CE213" s="228"/>
      <c r="CF213" s="228"/>
      <c r="CG213" s="228"/>
      <c r="CH213" s="228"/>
      <c r="CI213" s="228"/>
      <c r="CJ213" s="228"/>
      <c r="CK213" s="112">
        <f>SUM(BY213:CJ213)</f>
        <v>0</v>
      </c>
      <c r="DC213" s="2"/>
      <c r="DD213" s="2"/>
      <c r="DE213" s="2"/>
      <c r="DF213" s="2"/>
      <c r="DG213" s="2"/>
      <c r="DH213" s="2"/>
      <c r="DI213" s="2"/>
      <c r="DJ213" s="2"/>
      <c r="DK213" s="2"/>
      <c r="DL213" s="2"/>
      <c r="DM213" s="2"/>
      <c r="DN213" s="2"/>
      <c r="DO213" s="2">
        <f t="shared" si="42"/>
        <v>0</v>
      </c>
    </row>
    <row r="214" spans="1:119" s="10" customFormat="1" ht="37.5" customHeight="1" x14ac:dyDescent="0.2">
      <c r="A214" s="859" t="s">
        <v>66</v>
      </c>
      <c r="B214" s="859" t="s">
        <v>57</v>
      </c>
      <c r="C214" s="859" t="s">
        <v>67</v>
      </c>
      <c r="D214" s="239" t="s">
        <v>68</v>
      </c>
      <c r="E214" s="4" t="s">
        <v>69</v>
      </c>
      <c r="F214" s="4" t="s">
        <v>49</v>
      </c>
      <c r="G214" s="860" t="s">
        <v>50</v>
      </c>
      <c r="H214" s="859" t="s">
        <v>61</v>
      </c>
      <c r="I214" s="266">
        <v>43315</v>
      </c>
      <c r="J214" s="58">
        <v>43680</v>
      </c>
      <c r="K214" s="268">
        <v>37927298.509999998</v>
      </c>
      <c r="L214" s="148">
        <v>17801585.200000003</v>
      </c>
      <c r="M214" s="18">
        <f>AX214</f>
        <v>13979901.9705</v>
      </c>
      <c r="N214" s="18">
        <f>L214+M214</f>
        <v>31781487.170500003</v>
      </c>
      <c r="O214" s="149">
        <f>K214-N214</f>
        <v>6145811.3394999951</v>
      </c>
      <c r="P214" s="154">
        <f>N214</f>
        <v>31781487.170500003</v>
      </c>
      <c r="Q214" s="67">
        <f>BK214</f>
        <v>8861113.7884999998</v>
      </c>
      <c r="R214" s="61">
        <f>P214+Q214</f>
        <v>40642600.959000006</v>
      </c>
      <c r="S214" s="155">
        <f>K214-R214</f>
        <v>-2715302.4490000084</v>
      </c>
      <c r="T214" s="159">
        <f>R214</f>
        <v>40642600.959000006</v>
      </c>
      <c r="U214" s="61">
        <f>BX214</f>
        <v>0</v>
      </c>
      <c r="V214" s="61">
        <f>T214+U214</f>
        <v>40642600.959000006</v>
      </c>
      <c r="W214" s="215">
        <f>K214-V214</f>
        <v>-2715302.4490000084</v>
      </c>
      <c r="X214" s="246">
        <f>V214</f>
        <v>40642600.959000006</v>
      </c>
      <c r="Y214" s="18">
        <f>CK214</f>
        <v>0</v>
      </c>
      <c r="Z214" s="18">
        <f>X214+Y214</f>
        <v>40642600.959000006</v>
      </c>
      <c r="AA214" s="18">
        <f>K214-Z214</f>
        <v>-2715302.4490000084</v>
      </c>
      <c r="AB214" s="158">
        <v>0</v>
      </c>
      <c r="AC214" s="138">
        <v>12</v>
      </c>
      <c r="AD214" s="863" t="s">
        <v>517</v>
      </c>
      <c r="AE214" s="69">
        <v>0</v>
      </c>
      <c r="AF214" s="69">
        <v>0</v>
      </c>
      <c r="AG214" s="69" t="s">
        <v>53</v>
      </c>
      <c r="AH214" s="69" t="s">
        <v>53</v>
      </c>
      <c r="AI214" s="69" t="s">
        <v>53</v>
      </c>
      <c r="AJ214" s="69" t="s">
        <v>54</v>
      </c>
      <c r="AK214" s="866" t="s">
        <v>70</v>
      </c>
      <c r="AL214" s="7">
        <v>659681.22750000004</v>
      </c>
      <c r="AM214" s="7">
        <v>3779057.5155000002</v>
      </c>
      <c r="AN214" s="7"/>
      <c r="AO214" s="7">
        <f>521399.926</f>
        <v>521399.92599999998</v>
      </c>
      <c r="AP214" s="7">
        <v>2622693.1855000001</v>
      </c>
      <c r="AQ214" s="7">
        <v>1073802.8859999999</v>
      </c>
      <c r="AR214" s="7"/>
      <c r="AS214" s="7">
        <v>1253748.331</v>
      </c>
      <c r="AT214" s="7">
        <v>2718588.1090000002</v>
      </c>
      <c r="AU214" s="7"/>
      <c r="AV214" s="7">
        <v>904258.36</v>
      </c>
      <c r="AW214" s="7">
        <v>446672.43</v>
      </c>
      <c r="AX214" s="85">
        <f>SUBTOTAL(9,AL214:AW214)</f>
        <v>13979901.9705</v>
      </c>
      <c r="AY214" s="9"/>
      <c r="AZ214" s="9">
        <v>3107553.2070000004</v>
      </c>
      <c r="BA214" s="9"/>
      <c r="BB214" s="288">
        <f>3014816.1375+1419231.96</f>
        <v>4434048.0975000001</v>
      </c>
      <c r="BC214" s="9"/>
      <c r="BD214" s="9">
        <v>1319512.4839999999</v>
      </c>
      <c r="BE214" s="9"/>
      <c r="BF214" s="9"/>
      <c r="BG214" s="9"/>
      <c r="BH214" s="9"/>
      <c r="BI214" s="9"/>
      <c r="BJ214" s="9"/>
      <c r="BK214" s="85">
        <f>SUM(AY214:BJ214)</f>
        <v>8861113.7884999998</v>
      </c>
      <c r="BL214" s="39"/>
      <c r="BM214" s="39"/>
      <c r="BN214" s="39"/>
      <c r="BO214" s="39"/>
      <c r="BP214" s="39"/>
      <c r="BQ214" s="39"/>
      <c r="BR214" s="39"/>
      <c r="BS214" s="39"/>
      <c r="BT214" s="39"/>
      <c r="BU214" s="39"/>
      <c r="BV214" s="39"/>
      <c r="BW214" s="52"/>
      <c r="BX214" s="87">
        <f>SUM(BL214:BW214)</f>
        <v>0</v>
      </c>
      <c r="BY214" s="112"/>
      <c r="BZ214" s="112"/>
      <c r="CA214" s="112"/>
      <c r="CB214" s="112"/>
      <c r="CC214" s="112"/>
      <c r="CD214" s="112"/>
      <c r="CE214" s="112"/>
      <c r="CF214" s="112"/>
      <c r="CG214" s="112"/>
      <c r="CH214" s="112"/>
      <c r="CI214" s="112"/>
      <c r="CJ214" s="112"/>
      <c r="CK214" s="112">
        <f>SUM(BY214:CJ214)</f>
        <v>0</v>
      </c>
      <c r="DC214" s="4"/>
      <c r="DD214" s="4"/>
      <c r="DE214" s="4"/>
      <c r="DF214" s="4"/>
      <c r="DG214" s="4"/>
      <c r="DH214" s="4"/>
      <c r="DI214" s="4"/>
      <c r="DJ214" s="4"/>
      <c r="DK214" s="4"/>
      <c r="DL214" s="4"/>
      <c r="DM214" s="4"/>
      <c r="DN214" s="4"/>
      <c r="DO214" s="4">
        <f t="shared" si="42"/>
        <v>0</v>
      </c>
    </row>
    <row r="215" spans="1:119" s="10" customFormat="1" ht="37.5" customHeight="1" x14ac:dyDescent="0.2">
      <c r="A215" s="859"/>
      <c r="B215" s="859"/>
      <c r="C215" s="859"/>
      <c r="D215" s="4" t="s">
        <v>71</v>
      </c>
      <c r="E215" s="4" t="s">
        <v>65</v>
      </c>
      <c r="F215" s="4" t="s">
        <v>49</v>
      </c>
      <c r="G215" s="860"/>
      <c r="H215" s="859"/>
      <c r="I215" s="5" t="s">
        <v>1301</v>
      </c>
      <c r="J215" s="5" t="s">
        <v>1301</v>
      </c>
      <c r="K215" s="196">
        <v>0</v>
      </c>
      <c r="L215" s="148"/>
      <c r="M215" s="18">
        <f>AX215</f>
        <v>3620159.75</v>
      </c>
      <c r="N215" s="18">
        <f>L215+M215</f>
        <v>3620159.75</v>
      </c>
      <c r="O215" s="149"/>
      <c r="P215" s="154">
        <f>N215</f>
        <v>3620159.75</v>
      </c>
      <c r="Q215" s="67">
        <f>BK215</f>
        <v>636870</v>
      </c>
      <c r="R215" s="61">
        <f>P215+Q215</f>
        <v>4257029.75</v>
      </c>
      <c r="S215" s="155"/>
      <c r="T215" s="159">
        <f>R215</f>
        <v>4257029.75</v>
      </c>
      <c r="U215" s="61">
        <f>BX215</f>
        <v>0</v>
      </c>
      <c r="V215" s="61">
        <f>T215+U215</f>
        <v>4257029.75</v>
      </c>
      <c r="W215" s="215"/>
      <c r="X215" s="18">
        <f>V215</f>
        <v>4257029.75</v>
      </c>
      <c r="Y215" s="18">
        <f>CK215</f>
        <v>0</v>
      </c>
      <c r="Z215" s="18">
        <f>X215+Y215</f>
        <v>4257029.75</v>
      </c>
      <c r="AA215" s="18">
        <f>K215-Z215</f>
        <v>-4257029.75</v>
      </c>
      <c r="AB215" s="158">
        <v>0</v>
      </c>
      <c r="AC215" s="5" t="s">
        <v>1301</v>
      </c>
      <c r="AD215" s="864"/>
      <c r="AE215" s="69">
        <v>0</v>
      </c>
      <c r="AF215" s="69">
        <v>0</v>
      </c>
      <c r="AG215" s="69" t="s">
        <v>53</v>
      </c>
      <c r="AH215" s="69" t="s">
        <v>53</v>
      </c>
      <c r="AI215" s="69" t="s">
        <v>53</v>
      </c>
      <c r="AJ215" s="69" t="s">
        <v>54</v>
      </c>
      <c r="AK215" s="867"/>
      <c r="AL215" s="7"/>
      <c r="AM215" s="7"/>
      <c r="AN215" s="7"/>
      <c r="AO215" s="7">
        <v>1213940</v>
      </c>
      <c r="AP215" s="112">
        <v>1436148.75</v>
      </c>
      <c r="AQ215" s="7">
        <v>567571</v>
      </c>
      <c r="AR215" s="7"/>
      <c r="AS215" s="7">
        <v>402500</v>
      </c>
      <c r="AT215" s="7"/>
      <c r="AU215" s="7"/>
      <c r="AV215" s="7"/>
      <c r="AW215" s="7"/>
      <c r="AX215" s="85">
        <f>SUBTOTAL(9,AL215:AW215)</f>
        <v>3620159.75</v>
      </c>
      <c r="AY215" s="9"/>
      <c r="AZ215" s="9">
        <v>460460</v>
      </c>
      <c r="BA215" s="9"/>
      <c r="BB215" s="9"/>
      <c r="BC215" s="9"/>
      <c r="BD215" s="9">
        <v>176410</v>
      </c>
      <c r="BE215" s="9"/>
      <c r="BF215" s="9"/>
      <c r="BG215" s="9"/>
      <c r="BH215" s="9"/>
      <c r="BI215" s="9"/>
      <c r="BJ215" s="9"/>
      <c r="BK215" s="85">
        <f>SUM(AY215:BJ215)</f>
        <v>636870</v>
      </c>
      <c r="BL215" s="39"/>
      <c r="BM215" s="39"/>
      <c r="BN215" s="39"/>
      <c r="BO215" s="39"/>
      <c r="BP215" s="39"/>
      <c r="BQ215" s="39"/>
      <c r="BR215" s="39"/>
      <c r="BS215" s="39"/>
      <c r="BT215" s="39"/>
      <c r="BU215" s="39"/>
      <c r="BV215" s="39"/>
      <c r="BW215" s="52"/>
      <c r="BX215" s="87">
        <f>SUM(BL215:BW215)</f>
        <v>0</v>
      </c>
      <c r="BY215" s="112"/>
      <c r="BZ215" s="112"/>
      <c r="CA215" s="112"/>
      <c r="CB215" s="112"/>
      <c r="CC215" s="112"/>
      <c r="CD215" s="112"/>
      <c r="CE215" s="112"/>
      <c r="CF215" s="112"/>
      <c r="CG215" s="112"/>
      <c r="CH215" s="112"/>
      <c r="CI215" s="112"/>
      <c r="CJ215" s="112"/>
      <c r="CK215" s="112">
        <f>SUM(BY215:CJ215)</f>
        <v>0</v>
      </c>
      <c r="DC215" s="4"/>
      <c r="DD215" s="4"/>
      <c r="DE215" s="4"/>
      <c r="DF215" s="4"/>
      <c r="DG215" s="4"/>
      <c r="DH215" s="4"/>
      <c r="DI215" s="4"/>
      <c r="DJ215" s="4"/>
      <c r="DK215" s="4"/>
      <c r="DL215" s="4"/>
      <c r="DM215" s="4"/>
      <c r="DN215" s="4"/>
      <c r="DO215" s="4">
        <f t="shared" si="42"/>
        <v>0</v>
      </c>
    </row>
    <row r="216" spans="1:119" s="10" customFormat="1" ht="37.5" customHeight="1" x14ac:dyDescent="0.2">
      <c r="A216" s="859"/>
      <c r="B216" s="859"/>
      <c r="C216" s="859"/>
      <c r="D216" s="4" t="s">
        <v>1395</v>
      </c>
      <c r="E216" s="4"/>
      <c r="F216" s="4"/>
      <c r="G216" s="860"/>
      <c r="H216" s="859"/>
      <c r="I216" s="5"/>
      <c r="J216" s="5"/>
      <c r="K216" s="196"/>
      <c r="L216" s="148"/>
      <c r="M216" s="18"/>
      <c r="N216" s="18"/>
      <c r="O216" s="149"/>
      <c r="P216" s="154"/>
      <c r="Q216" s="67"/>
      <c r="R216" s="61"/>
      <c r="S216" s="155"/>
      <c r="T216" s="159"/>
      <c r="U216" s="61"/>
      <c r="V216" s="61"/>
      <c r="W216" s="215"/>
      <c r="X216" s="18"/>
      <c r="Y216" s="18"/>
      <c r="Z216" s="18"/>
      <c r="AA216" s="18"/>
      <c r="AB216" s="158"/>
      <c r="AC216" s="5"/>
      <c r="AD216" s="864"/>
      <c r="AE216" s="69"/>
      <c r="AF216" s="69"/>
      <c r="AG216" s="69"/>
      <c r="AH216" s="69"/>
      <c r="AI216" s="69"/>
      <c r="AJ216" s="69"/>
      <c r="AK216" s="867"/>
      <c r="AL216" s="7"/>
      <c r="AM216" s="7"/>
      <c r="AN216" s="7"/>
      <c r="AO216" s="7"/>
      <c r="AP216" s="4"/>
      <c r="AQ216" s="7"/>
      <c r="AR216" s="7"/>
      <c r="AS216" s="7"/>
      <c r="AT216" s="7"/>
      <c r="AU216" s="7"/>
      <c r="AV216" s="7"/>
      <c r="AW216" s="7"/>
      <c r="AX216" s="85"/>
      <c r="AY216" s="9"/>
      <c r="AZ216" s="9"/>
      <c r="BA216" s="9"/>
      <c r="BB216" s="9"/>
      <c r="BC216" s="9"/>
      <c r="BD216" s="9"/>
      <c r="BE216" s="9"/>
      <c r="BF216" s="9"/>
      <c r="BG216" s="9"/>
      <c r="BH216" s="9"/>
      <c r="BI216" s="9"/>
      <c r="BJ216" s="9"/>
      <c r="BK216" s="85"/>
      <c r="BL216" s="39"/>
      <c r="BM216" s="39"/>
      <c r="BN216" s="39"/>
      <c r="BO216" s="39"/>
      <c r="BP216" s="39"/>
      <c r="BQ216" s="39"/>
      <c r="BR216" s="39"/>
      <c r="BS216" s="39"/>
      <c r="BT216" s="39"/>
      <c r="BU216" s="39"/>
      <c r="BV216" s="39"/>
      <c r="BW216" s="52"/>
      <c r="BX216" s="87"/>
      <c r="BY216" s="112"/>
      <c r="BZ216" s="285">
        <v>2465449.9300000002</v>
      </c>
      <c r="CA216" s="112"/>
      <c r="CB216" s="112"/>
      <c r="CC216" s="112"/>
      <c r="CD216" s="112"/>
      <c r="CE216" s="112"/>
      <c r="CF216" s="112"/>
      <c r="CG216" s="112"/>
      <c r="CH216" s="112"/>
      <c r="CI216" s="112"/>
      <c r="CJ216" s="112"/>
      <c r="CK216" s="112"/>
      <c r="DC216" s="4"/>
      <c r="DD216" s="4"/>
      <c r="DE216" s="4"/>
      <c r="DF216" s="4"/>
      <c r="DG216" s="4"/>
      <c r="DH216" s="4"/>
      <c r="DI216" s="4"/>
      <c r="DJ216" s="4"/>
      <c r="DK216" s="4"/>
      <c r="DL216" s="4"/>
      <c r="DM216" s="4"/>
      <c r="DN216" s="4"/>
      <c r="DO216" s="4">
        <f t="shared" si="42"/>
        <v>0</v>
      </c>
    </row>
    <row r="217" spans="1:119" s="10" customFormat="1" ht="37.5" customHeight="1" x14ac:dyDescent="0.2">
      <c r="A217" s="859"/>
      <c r="B217" s="859"/>
      <c r="C217" s="859"/>
      <c r="D217" s="4" t="s">
        <v>72</v>
      </c>
      <c r="E217" s="4" t="s">
        <v>73</v>
      </c>
      <c r="F217" s="4" t="s">
        <v>49</v>
      </c>
      <c r="G217" s="860"/>
      <c r="H217" s="859"/>
      <c r="I217" s="5">
        <v>42078</v>
      </c>
      <c r="J217" s="5">
        <v>42444</v>
      </c>
      <c r="K217" s="197" t="s">
        <v>142</v>
      </c>
      <c r="L217" s="148"/>
      <c r="M217" s="18">
        <f t="shared" ref="M217:M229" si="43">AX217</f>
        <v>1064618.69</v>
      </c>
      <c r="N217" s="18">
        <f t="shared" ref="N217:N229" si="44">L217+M217</f>
        <v>1064618.69</v>
      </c>
      <c r="O217" s="149"/>
      <c r="P217" s="154">
        <f t="shared" ref="P217:P229" si="45">N217</f>
        <v>1064618.69</v>
      </c>
      <c r="Q217" s="67">
        <f t="shared" ref="Q217:Q229" si="46">BK217</f>
        <v>411780.799</v>
      </c>
      <c r="R217" s="61">
        <f t="shared" ref="R217:R229" si="47">P217+Q217</f>
        <v>1476399.4890000001</v>
      </c>
      <c r="S217" s="155"/>
      <c r="T217" s="159">
        <f t="shared" ref="T217:T229" si="48">R217</f>
        <v>1476399.4890000001</v>
      </c>
      <c r="U217" s="61">
        <f t="shared" ref="U217:U229" si="49">BX217</f>
        <v>0</v>
      </c>
      <c r="V217" s="61">
        <f t="shared" ref="V217:V229" si="50">T217+U217</f>
        <v>1476399.4890000001</v>
      </c>
      <c r="W217" s="215"/>
      <c r="X217" s="18">
        <f t="shared" ref="X217:X229" si="51">V217</f>
        <v>1476399.4890000001</v>
      </c>
      <c r="Y217" s="18">
        <f t="shared" ref="Y217:Y229" si="52">CK217</f>
        <v>0</v>
      </c>
      <c r="Z217" s="18">
        <f t="shared" ref="Z217:Z229" si="53">X217+Y217</f>
        <v>1476399.4890000001</v>
      </c>
      <c r="AA217" s="18"/>
      <c r="AB217" s="158">
        <v>0</v>
      </c>
      <c r="AC217" s="44">
        <v>12</v>
      </c>
      <c r="AD217" s="865"/>
      <c r="AE217" s="69">
        <v>0</v>
      </c>
      <c r="AF217" s="69">
        <v>0</v>
      </c>
      <c r="AG217" s="69" t="s">
        <v>53</v>
      </c>
      <c r="AH217" s="69" t="s">
        <v>53</v>
      </c>
      <c r="AI217" s="69" t="s">
        <v>53</v>
      </c>
      <c r="AJ217" s="69" t="s">
        <v>54</v>
      </c>
      <c r="AK217" s="868"/>
      <c r="AL217" s="7"/>
      <c r="AM217" s="7">
        <v>688320.19</v>
      </c>
      <c r="AN217" s="7"/>
      <c r="AO217" s="7"/>
      <c r="AP217" s="7"/>
      <c r="AQ217" s="7"/>
      <c r="AR217" s="7"/>
      <c r="AS217" s="7"/>
      <c r="AT217" s="7">
        <v>376298.5</v>
      </c>
      <c r="AU217" s="7"/>
      <c r="AV217" s="7"/>
      <c r="AW217" s="7"/>
      <c r="AX217" s="85">
        <f>SUBTOTAL(9,AL217:AW217)</f>
        <v>1064618.69</v>
      </c>
      <c r="AY217" s="9"/>
      <c r="AZ217" s="9"/>
      <c r="BA217" s="9"/>
      <c r="BB217" s="9"/>
      <c r="BC217" s="9"/>
      <c r="BD217" s="9"/>
      <c r="BE217" s="9"/>
      <c r="BF217" s="9"/>
      <c r="BG217" s="9">
        <v>411780.799</v>
      </c>
      <c r="BH217" s="9"/>
      <c r="BI217" s="9"/>
      <c r="BJ217" s="9"/>
      <c r="BK217" s="85">
        <f t="shared" ref="BK217:BK229" si="54">SUM(AY217:BJ217)</f>
        <v>411780.799</v>
      </c>
      <c r="BL217" s="39"/>
      <c r="BM217" s="39"/>
      <c r="BN217" s="39"/>
      <c r="BO217" s="39"/>
      <c r="BP217" s="39"/>
      <c r="BQ217" s="39"/>
      <c r="BR217" s="39"/>
      <c r="BS217" s="39"/>
      <c r="BT217" s="39"/>
      <c r="BU217" s="39"/>
      <c r="BV217" s="39"/>
      <c r="BW217" s="52"/>
      <c r="BX217" s="87">
        <f t="shared" ref="BX217:BX229" si="55">SUM(BL217:BW217)</f>
        <v>0</v>
      </c>
      <c r="BY217" s="112"/>
      <c r="BZ217" s="112"/>
      <c r="CA217" s="112"/>
      <c r="CB217" s="112"/>
      <c r="CC217" s="112"/>
      <c r="CD217" s="112"/>
      <c r="CE217" s="112"/>
      <c r="CF217" s="112"/>
      <c r="CG217" s="112"/>
      <c r="CH217" s="112"/>
      <c r="CI217" s="112"/>
      <c r="CJ217" s="112"/>
      <c r="CK217" s="112">
        <f t="shared" ref="CK217:CK229" si="56">SUM(BY217:CJ217)</f>
        <v>0</v>
      </c>
      <c r="DC217" s="4"/>
      <c r="DD217" s="4"/>
      <c r="DE217" s="4"/>
      <c r="DF217" s="4"/>
      <c r="DG217" s="4"/>
      <c r="DH217" s="4"/>
      <c r="DI217" s="4"/>
      <c r="DJ217" s="4"/>
      <c r="DK217" s="4"/>
      <c r="DL217" s="4"/>
      <c r="DM217" s="4"/>
      <c r="DN217" s="4"/>
      <c r="DO217" s="4">
        <f t="shared" si="42"/>
        <v>0</v>
      </c>
    </row>
    <row r="218" spans="1:119" ht="25.9" customHeight="1" x14ac:dyDescent="0.25">
      <c r="A218" s="859" t="s">
        <v>74</v>
      </c>
      <c r="B218" s="859" t="s">
        <v>57</v>
      </c>
      <c r="C218" s="859" t="s">
        <v>75</v>
      </c>
      <c r="D218" s="239" t="s">
        <v>76</v>
      </c>
      <c r="E218" s="4" t="s">
        <v>77</v>
      </c>
      <c r="F218" s="4" t="s">
        <v>49</v>
      </c>
      <c r="G218" s="860" t="s">
        <v>50</v>
      </c>
      <c r="H218" s="860" t="s">
        <v>61</v>
      </c>
      <c r="I218" s="266">
        <v>43347</v>
      </c>
      <c r="J218" s="14">
        <v>43712</v>
      </c>
      <c r="K218" s="204" t="s">
        <v>1394</v>
      </c>
      <c r="L218" s="296" t="s">
        <v>1411</v>
      </c>
      <c r="M218" s="18">
        <f t="shared" si="43"/>
        <v>738931.44200000004</v>
      </c>
      <c r="N218" s="18" t="e">
        <f t="shared" si="44"/>
        <v>#VALUE!</v>
      </c>
      <c r="O218" s="149" t="e">
        <f>K218-N218</f>
        <v>#VALUE!</v>
      </c>
      <c r="P218" s="154" t="e">
        <f t="shared" si="45"/>
        <v>#VALUE!</v>
      </c>
      <c r="Q218" s="67">
        <f t="shared" si="46"/>
        <v>0</v>
      </c>
      <c r="R218" s="61" t="e">
        <f t="shared" si="47"/>
        <v>#VALUE!</v>
      </c>
      <c r="S218" s="155" t="e">
        <f>K218-R218</f>
        <v>#VALUE!</v>
      </c>
      <c r="T218" s="159" t="e">
        <f t="shared" si="48"/>
        <v>#VALUE!</v>
      </c>
      <c r="U218" s="61">
        <f t="shared" si="49"/>
        <v>0</v>
      </c>
      <c r="V218" s="61" t="e">
        <f t="shared" si="50"/>
        <v>#VALUE!</v>
      </c>
      <c r="W218" s="215" t="e">
        <f>K218-V218</f>
        <v>#VALUE!</v>
      </c>
      <c r="X218" s="246" t="e">
        <f t="shared" si="51"/>
        <v>#VALUE!</v>
      </c>
      <c r="Y218" s="18">
        <f t="shared" si="52"/>
        <v>0</v>
      </c>
      <c r="Z218" s="18" t="e">
        <f t="shared" si="53"/>
        <v>#VALUE!</v>
      </c>
      <c r="AA218" s="18"/>
      <c r="AB218" s="158">
        <v>0</v>
      </c>
      <c r="AC218" s="44">
        <v>12</v>
      </c>
      <c r="AD218" s="863" t="s">
        <v>517</v>
      </c>
      <c r="AE218" s="69">
        <v>0</v>
      </c>
      <c r="AF218" s="69">
        <v>0</v>
      </c>
      <c r="AG218" s="69" t="s">
        <v>53</v>
      </c>
      <c r="AH218" s="69" t="s">
        <v>53</v>
      </c>
      <c r="AI218" s="69" t="s">
        <v>53</v>
      </c>
      <c r="AJ218" s="69" t="s">
        <v>54</v>
      </c>
      <c r="AK218" s="866" t="s">
        <v>70</v>
      </c>
      <c r="AL218" s="7">
        <v>199385.99950000001</v>
      </c>
      <c r="AM218" s="7"/>
      <c r="AN218" s="7"/>
      <c r="AO218" s="7">
        <v>539545.4425</v>
      </c>
      <c r="AP218" s="7"/>
      <c r="AQ218" s="7"/>
      <c r="AR218" s="7"/>
      <c r="AS218" s="7"/>
      <c r="AT218" s="7"/>
      <c r="AU218" s="7"/>
      <c r="AV218" s="7"/>
      <c r="AW218" s="7"/>
      <c r="AX218" s="85">
        <f>SUBTOTAL(9,AL218:AW218)</f>
        <v>738931.44200000004</v>
      </c>
      <c r="AY218" s="11"/>
      <c r="AZ218" s="11"/>
      <c r="BA218" s="11"/>
      <c r="BB218" s="11"/>
      <c r="BC218" s="11"/>
      <c r="BD218" s="11"/>
      <c r="BE218" s="11"/>
      <c r="BF218" s="11"/>
      <c r="BG218" s="11"/>
      <c r="BH218" s="11"/>
      <c r="BI218" s="11"/>
      <c r="BJ218" s="11"/>
      <c r="BK218" s="85">
        <f t="shared" si="54"/>
        <v>0</v>
      </c>
      <c r="BL218" s="40"/>
      <c r="BM218" s="40"/>
      <c r="BN218" s="40"/>
      <c r="BO218" s="40"/>
      <c r="BP218" s="40"/>
      <c r="BQ218" s="40"/>
      <c r="BR218" s="40"/>
      <c r="BS218" s="40"/>
      <c r="BT218" s="40"/>
      <c r="BU218" s="40"/>
      <c r="BV218" s="40"/>
      <c r="BW218" s="54"/>
      <c r="BX218" s="87">
        <f t="shared" si="55"/>
        <v>0</v>
      </c>
      <c r="BY218" s="228"/>
      <c r="BZ218" s="228"/>
      <c r="CA218" s="228"/>
      <c r="CB218" s="228"/>
      <c r="CC218" s="228"/>
      <c r="CD218" s="228"/>
      <c r="CE218" s="228"/>
      <c r="CF218" s="228"/>
      <c r="CG218" s="228"/>
      <c r="CH218" s="228"/>
      <c r="CI218" s="228"/>
      <c r="CJ218" s="228"/>
      <c r="CK218" s="112">
        <f t="shared" si="56"/>
        <v>0</v>
      </c>
      <c r="DC218" s="518"/>
      <c r="DD218" s="518"/>
      <c r="DE218" s="518"/>
      <c r="DF218" s="518"/>
      <c r="DG218" s="518"/>
      <c r="DH218" s="518"/>
      <c r="DI218" s="518"/>
      <c r="DJ218" s="518"/>
      <c r="DK218" s="518"/>
      <c r="DL218" s="518"/>
      <c r="DM218" s="518"/>
      <c r="DN218" s="518"/>
      <c r="DO218" s="518">
        <f t="shared" si="42"/>
        <v>0</v>
      </c>
    </row>
    <row r="219" spans="1:119" ht="25.9" customHeight="1" x14ac:dyDescent="0.25">
      <c r="A219" s="859"/>
      <c r="B219" s="859"/>
      <c r="C219" s="859"/>
      <c r="D219" s="4" t="s">
        <v>78</v>
      </c>
      <c r="E219" s="4" t="s">
        <v>79</v>
      </c>
      <c r="F219" s="4" t="s">
        <v>49</v>
      </c>
      <c r="G219" s="860"/>
      <c r="H219" s="860"/>
      <c r="I219" s="5">
        <v>42361</v>
      </c>
      <c r="J219" s="14">
        <v>42727</v>
      </c>
      <c r="K219" s="197">
        <v>485100</v>
      </c>
      <c r="L219" s="296" t="s">
        <v>1411</v>
      </c>
      <c r="M219" s="18">
        <f t="shared" si="43"/>
        <v>548256.91299999994</v>
      </c>
      <c r="N219" s="18" t="e">
        <f t="shared" si="44"/>
        <v>#VALUE!</v>
      </c>
      <c r="O219" s="149" t="e">
        <f>K219-N219</f>
        <v>#VALUE!</v>
      </c>
      <c r="P219" s="154" t="e">
        <f t="shared" si="45"/>
        <v>#VALUE!</v>
      </c>
      <c r="Q219" s="67">
        <f t="shared" si="46"/>
        <v>0</v>
      </c>
      <c r="R219" s="61" t="e">
        <f t="shared" si="47"/>
        <v>#VALUE!</v>
      </c>
      <c r="S219" s="155" t="e">
        <f>K219-R219</f>
        <v>#VALUE!</v>
      </c>
      <c r="T219" s="159" t="e">
        <f t="shared" si="48"/>
        <v>#VALUE!</v>
      </c>
      <c r="U219" s="61">
        <f t="shared" si="49"/>
        <v>0</v>
      </c>
      <c r="V219" s="61" t="e">
        <f t="shared" si="50"/>
        <v>#VALUE!</v>
      </c>
      <c r="W219" s="215" t="e">
        <f>K219-V219</f>
        <v>#VALUE!</v>
      </c>
      <c r="X219" s="246" t="e">
        <f t="shared" si="51"/>
        <v>#VALUE!</v>
      </c>
      <c r="Y219" s="18">
        <f t="shared" si="52"/>
        <v>0</v>
      </c>
      <c r="Z219" s="18" t="e">
        <f t="shared" si="53"/>
        <v>#VALUE!</v>
      </c>
      <c r="AA219" s="18" t="e">
        <f>K219-Z219</f>
        <v>#VALUE!</v>
      </c>
      <c r="AB219" s="158">
        <v>0</v>
      </c>
      <c r="AC219" s="44">
        <v>12</v>
      </c>
      <c r="AD219" s="865"/>
      <c r="AE219" s="69">
        <v>0</v>
      </c>
      <c r="AF219" s="69">
        <v>0</v>
      </c>
      <c r="AG219" s="69" t="s">
        <v>53</v>
      </c>
      <c r="AH219" s="69" t="s">
        <v>53</v>
      </c>
      <c r="AI219" s="69" t="s">
        <v>53</v>
      </c>
      <c r="AJ219" s="69" t="s">
        <v>54</v>
      </c>
      <c r="AK219" s="868"/>
      <c r="AL219" s="7"/>
      <c r="AM219" s="7"/>
      <c r="AN219" s="7"/>
      <c r="AO219" s="7"/>
      <c r="AP219" s="7"/>
      <c r="AQ219" s="7"/>
      <c r="AR219" s="7"/>
      <c r="AS219" s="7"/>
      <c r="AT219" s="7"/>
      <c r="AU219" s="7"/>
      <c r="AV219" s="7"/>
      <c r="AW219" s="281">
        <v>548256.91299999994</v>
      </c>
      <c r="AX219" s="85">
        <f>SUBTOTAL(9,AL219:AW219)</f>
        <v>548256.91299999994</v>
      </c>
      <c r="AY219" s="11"/>
      <c r="AZ219" s="11"/>
      <c r="BA219" s="11"/>
      <c r="BB219" s="11"/>
      <c r="BC219" s="11"/>
      <c r="BD219" s="11"/>
      <c r="BE219" s="11"/>
      <c r="BF219" s="11"/>
      <c r="BG219" s="11"/>
      <c r="BH219" s="11"/>
      <c r="BI219" s="11"/>
      <c r="BJ219" s="11"/>
      <c r="BK219" s="85">
        <f t="shared" si="54"/>
        <v>0</v>
      </c>
      <c r="BL219" s="40"/>
      <c r="BM219" s="40"/>
      <c r="BN219" s="40"/>
      <c r="BO219" s="40"/>
      <c r="BP219" s="40"/>
      <c r="BQ219" s="40"/>
      <c r="BR219" s="40"/>
      <c r="BS219" s="40"/>
      <c r="BT219" s="40"/>
      <c r="BU219" s="40"/>
      <c r="BV219" s="40"/>
      <c r="BW219" s="54"/>
      <c r="BX219" s="87">
        <f t="shared" si="55"/>
        <v>0</v>
      </c>
      <c r="BY219" s="228"/>
      <c r="BZ219" s="228"/>
      <c r="CA219" s="228"/>
      <c r="CB219" s="228"/>
      <c r="CC219" s="228"/>
      <c r="CD219" s="228"/>
      <c r="CE219" s="228"/>
      <c r="CF219" s="228"/>
      <c r="CG219" s="228"/>
      <c r="CH219" s="228"/>
      <c r="CI219" s="228"/>
      <c r="CJ219" s="228"/>
      <c r="CK219" s="112">
        <f t="shared" si="56"/>
        <v>0</v>
      </c>
      <c r="DC219" s="518"/>
      <c r="DD219" s="518"/>
      <c r="DE219" s="518"/>
      <c r="DF219" s="518"/>
      <c r="DG219" s="518"/>
      <c r="DH219" s="518"/>
      <c r="DI219" s="518"/>
      <c r="DJ219" s="518"/>
      <c r="DK219" s="518"/>
      <c r="DL219" s="518"/>
      <c r="DM219" s="518"/>
      <c r="DN219" s="518"/>
      <c r="DO219" s="518">
        <f t="shared" si="42"/>
        <v>0</v>
      </c>
    </row>
    <row r="220" spans="1:119" s="13" customFormat="1" ht="26.45" customHeight="1" x14ac:dyDescent="0.2">
      <c r="A220" s="44" t="s">
        <v>95</v>
      </c>
      <c r="B220" s="44" t="s">
        <v>57</v>
      </c>
      <c r="C220" s="44" t="s">
        <v>96</v>
      </c>
      <c r="D220" s="239" t="s">
        <v>97</v>
      </c>
      <c r="E220" s="4" t="s">
        <v>98</v>
      </c>
      <c r="F220" s="4" t="s">
        <v>49</v>
      </c>
      <c r="G220" s="45" t="s">
        <v>50</v>
      </c>
      <c r="H220" s="45" t="s">
        <v>61</v>
      </c>
      <c r="I220" s="266">
        <v>43571</v>
      </c>
      <c r="J220" s="14">
        <v>43693</v>
      </c>
      <c r="K220" s="204">
        <v>202906</v>
      </c>
      <c r="L220" s="150"/>
      <c r="M220" s="18">
        <f t="shared" si="43"/>
        <v>24697.75</v>
      </c>
      <c r="N220" s="18">
        <f t="shared" si="44"/>
        <v>24697.75</v>
      </c>
      <c r="O220" s="149">
        <f>K220-N220</f>
        <v>178208.25</v>
      </c>
      <c r="P220" s="154">
        <f t="shared" si="45"/>
        <v>24697.75</v>
      </c>
      <c r="Q220" s="67">
        <f t="shared" si="46"/>
        <v>0</v>
      </c>
      <c r="R220" s="61">
        <f t="shared" si="47"/>
        <v>24697.75</v>
      </c>
      <c r="S220" s="155">
        <f>K220-R220</f>
        <v>178208.25</v>
      </c>
      <c r="T220" s="159">
        <f t="shared" si="48"/>
        <v>24697.75</v>
      </c>
      <c r="U220" s="61">
        <f t="shared" si="49"/>
        <v>0</v>
      </c>
      <c r="V220" s="61">
        <f t="shared" si="50"/>
        <v>24697.75</v>
      </c>
      <c r="W220" s="215">
        <f>K220-V220</f>
        <v>178208.25</v>
      </c>
      <c r="X220" s="18">
        <f t="shared" si="51"/>
        <v>24697.75</v>
      </c>
      <c r="Y220" s="18">
        <f t="shared" si="52"/>
        <v>0</v>
      </c>
      <c r="Z220" s="18">
        <f t="shared" si="53"/>
        <v>24697.75</v>
      </c>
      <c r="AA220" s="18">
        <f>K220-Z220</f>
        <v>178208.25</v>
      </c>
      <c r="AB220" s="158">
        <v>0</v>
      </c>
      <c r="AC220" s="44">
        <v>4</v>
      </c>
      <c r="AD220" s="44" t="s">
        <v>517</v>
      </c>
      <c r="AE220" s="69">
        <v>0</v>
      </c>
      <c r="AF220" s="69">
        <v>0</v>
      </c>
      <c r="AG220" s="69" t="s">
        <v>53</v>
      </c>
      <c r="AH220" s="69" t="s">
        <v>53</v>
      </c>
      <c r="AI220" s="69" t="s">
        <v>53</v>
      </c>
      <c r="AJ220" s="69" t="s">
        <v>54</v>
      </c>
      <c r="AK220" s="45" t="s">
        <v>83</v>
      </c>
      <c r="AL220" s="7"/>
      <c r="AM220" s="7"/>
      <c r="AN220" s="7"/>
      <c r="AO220" s="7"/>
      <c r="AP220" s="7"/>
      <c r="AQ220" s="7"/>
      <c r="AR220" s="7"/>
      <c r="AS220" s="7">
        <v>24697.75</v>
      </c>
      <c r="AT220" s="7"/>
      <c r="AU220" s="7"/>
      <c r="AV220" s="7"/>
      <c r="AW220" s="7"/>
      <c r="AX220" s="85">
        <f>SUBTOTAL(9,AL220:AW220)</f>
        <v>24697.75</v>
      </c>
      <c r="AY220" s="11"/>
      <c r="AZ220" s="11"/>
      <c r="BA220" s="11"/>
      <c r="BB220" s="11"/>
      <c r="BC220" s="11"/>
      <c r="BD220" s="11"/>
      <c r="BE220" s="11"/>
      <c r="BF220" s="11"/>
      <c r="BG220" s="11"/>
      <c r="BH220" s="11"/>
      <c r="BI220" s="11"/>
      <c r="BJ220" s="11"/>
      <c r="BK220" s="85">
        <f t="shared" si="54"/>
        <v>0</v>
      </c>
      <c r="BL220" s="40"/>
      <c r="BM220" s="40"/>
      <c r="BN220" s="40"/>
      <c r="BO220" s="40"/>
      <c r="BP220" s="40"/>
      <c r="BQ220" s="40"/>
      <c r="BR220" s="40"/>
      <c r="BS220" s="40"/>
      <c r="BT220" s="40"/>
      <c r="BU220" s="40"/>
      <c r="BV220" s="40"/>
      <c r="BW220" s="54"/>
      <c r="BX220" s="87">
        <f t="shared" si="55"/>
        <v>0</v>
      </c>
      <c r="BY220" s="228"/>
      <c r="BZ220" s="228"/>
      <c r="CA220" s="228"/>
      <c r="CB220" s="228"/>
      <c r="CC220" s="228"/>
      <c r="CD220" s="228"/>
      <c r="CE220" s="228"/>
      <c r="CF220" s="228"/>
      <c r="CG220" s="228"/>
      <c r="CH220" s="228"/>
      <c r="CI220" s="228"/>
      <c r="CJ220" s="228"/>
      <c r="CK220" s="112">
        <f t="shared" si="56"/>
        <v>0</v>
      </c>
      <c r="DC220" s="2"/>
      <c r="DD220" s="2"/>
      <c r="DE220" s="2"/>
      <c r="DF220" s="2"/>
      <c r="DG220" s="2"/>
      <c r="DH220" s="2"/>
      <c r="DI220" s="2"/>
      <c r="DJ220" s="2"/>
      <c r="DK220" s="2"/>
      <c r="DL220" s="2"/>
      <c r="DM220" s="2"/>
      <c r="DN220" s="2"/>
      <c r="DO220" s="2">
        <f t="shared" si="42"/>
        <v>0</v>
      </c>
    </row>
    <row r="221" spans="1:119" ht="25.9" customHeight="1" x14ac:dyDescent="0.25">
      <c r="A221" s="859" t="s">
        <v>129</v>
      </c>
      <c r="B221" s="860" t="s">
        <v>57</v>
      </c>
      <c r="C221" s="859" t="s">
        <v>130</v>
      </c>
      <c r="D221" s="239" t="s">
        <v>131</v>
      </c>
      <c r="E221" s="4" t="s">
        <v>132</v>
      </c>
      <c r="F221" s="4" t="s">
        <v>49</v>
      </c>
      <c r="G221" s="860" t="s">
        <v>50</v>
      </c>
      <c r="H221" s="860" t="s">
        <v>61</v>
      </c>
      <c r="I221" s="266">
        <v>43887</v>
      </c>
      <c r="J221" s="58">
        <v>44434</v>
      </c>
      <c r="K221" s="271">
        <v>3134567.73</v>
      </c>
      <c r="L221" s="9"/>
      <c r="M221" s="18">
        <f t="shared" si="43"/>
        <v>0</v>
      </c>
      <c r="N221" s="18">
        <f t="shared" si="44"/>
        <v>0</v>
      </c>
      <c r="O221" s="222">
        <f>K221-N221</f>
        <v>3134567.73</v>
      </c>
      <c r="P221" s="18">
        <f t="shared" si="45"/>
        <v>0</v>
      </c>
      <c r="Q221" s="18">
        <f t="shared" si="46"/>
        <v>2578556.5995000005</v>
      </c>
      <c r="R221" s="18">
        <f t="shared" si="47"/>
        <v>2578556.5995000005</v>
      </c>
      <c r="S221" s="18">
        <f>K221-R221</f>
        <v>556011.1304999995</v>
      </c>
      <c r="T221" s="21">
        <f t="shared" si="48"/>
        <v>2578556.5995000005</v>
      </c>
      <c r="U221" s="18">
        <f t="shared" si="49"/>
        <v>263561.61</v>
      </c>
      <c r="V221" s="18">
        <f t="shared" si="50"/>
        <v>2842118.2095000003</v>
      </c>
      <c r="W221" s="18">
        <f>K221-V221</f>
        <v>292449.52049999963</v>
      </c>
      <c r="X221" s="18">
        <f t="shared" si="51"/>
        <v>2842118.2095000003</v>
      </c>
      <c r="Y221" s="18">
        <f t="shared" si="52"/>
        <v>0</v>
      </c>
      <c r="Z221" s="18">
        <f t="shared" si="53"/>
        <v>2842118.2095000003</v>
      </c>
      <c r="AA221" s="18">
        <f>K221-Z221</f>
        <v>292449.52049999963</v>
      </c>
      <c r="AB221" s="223">
        <v>0</v>
      </c>
      <c r="AC221" s="44">
        <v>6</v>
      </c>
      <c r="AD221" s="859" t="s">
        <v>517</v>
      </c>
      <c r="AE221" s="69">
        <v>0</v>
      </c>
      <c r="AF221" s="69">
        <v>0</v>
      </c>
      <c r="AG221" s="69" t="s">
        <v>53</v>
      </c>
      <c r="AH221" s="69" t="s">
        <v>53</v>
      </c>
      <c r="AI221" s="69" t="s">
        <v>53</v>
      </c>
      <c r="AJ221" s="69" t="s">
        <v>54</v>
      </c>
      <c r="AK221" s="860" t="s">
        <v>70</v>
      </c>
      <c r="AL221" s="7"/>
      <c r="AM221" s="7"/>
      <c r="AN221" s="7"/>
      <c r="AO221" s="7"/>
      <c r="AP221" s="7"/>
      <c r="AQ221" s="7"/>
      <c r="AR221" s="7"/>
      <c r="AS221" s="7"/>
      <c r="AT221" s="7"/>
      <c r="AU221" s="7"/>
      <c r="AV221" s="7"/>
      <c r="AW221" s="7"/>
      <c r="AX221" s="85">
        <f t="shared" ref="AX221:AX229" si="57">SUM(AL221:AW221)</f>
        <v>0</v>
      </c>
      <c r="AY221" s="9">
        <v>337596.3</v>
      </c>
      <c r="AZ221" s="9"/>
      <c r="BA221" s="9"/>
      <c r="BB221" s="9"/>
      <c r="BC221" s="9">
        <v>578337.30000000005</v>
      </c>
      <c r="BD221" s="9">
        <v>311410.8</v>
      </c>
      <c r="BE221" s="9"/>
      <c r="BF221" s="9">
        <v>668853.22499999998</v>
      </c>
      <c r="BG221" s="9">
        <v>350678.7</v>
      </c>
      <c r="BH221" s="9">
        <v>103096.35</v>
      </c>
      <c r="BI221" s="9">
        <v>228583.92450000002</v>
      </c>
      <c r="BJ221" s="9"/>
      <c r="BK221" s="85">
        <f t="shared" si="54"/>
        <v>2578556.5995000005</v>
      </c>
      <c r="BL221" s="220">
        <v>106170.29999999999</v>
      </c>
      <c r="BM221" s="39"/>
      <c r="BN221" s="39"/>
      <c r="BO221" s="39"/>
      <c r="BP221" s="39"/>
      <c r="BQ221" s="39"/>
      <c r="BR221" s="39">
        <v>157391.31</v>
      </c>
      <c r="BS221" s="39"/>
      <c r="BT221" s="39"/>
      <c r="BU221" s="39"/>
      <c r="BV221" s="39"/>
      <c r="BW221" s="52"/>
      <c r="BX221" s="87">
        <f t="shared" si="55"/>
        <v>263561.61</v>
      </c>
      <c r="BY221" s="112"/>
      <c r="BZ221" s="112"/>
      <c r="CA221" s="112"/>
      <c r="CB221" s="112"/>
      <c r="CC221" s="112"/>
      <c r="CD221" s="112"/>
      <c r="CE221" s="112"/>
      <c r="CF221" s="112"/>
      <c r="CG221" s="112"/>
      <c r="CH221" s="112"/>
      <c r="CI221" s="112"/>
      <c r="CJ221" s="112"/>
      <c r="CK221" s="112">
        <f t="shared" si="56"/>
        <v>0</v>
      </c>
      <c r="DC221" s="518"/>
      <c r="DD221" s="518"/>
      <c r="DE221" s="518"/>
      <c r="DF221" s="518"/>
      <c r="DG221" s="518"/>
      <c r="DH221" s="518"/>
      <c r="DI221" s="518"/>
      <c r="DJ221" s="518"/>
      <c r="DK221" s="518"/>
      <c r="DL221" s="518"/>
      <c r="DM221" s="518"/>
      <c r="DN221" s="518"/>
      <c r="DO221" s="518">
        <f t="shared" si="42"/>
        <v>0</v>
      </c>
    </row>
    <row r="222" spans="1:119" ht="25.9" customHeight="1" x14ac:dyDescent="0.25">
      <c r="A222" s="859"/>
      <c r="B222" s="860"/>
      <c r="C222" s="859"/>
      <c r="D222" s="4" t="s">
        <v>133</v>
      </c>
      <c r="E222" s="4" t="s">
        <v>134</v>
      </c>
      <c r="F222" s="4" t="s">
        <v>49</v>
      </c>
      <c r="G222" s="860"/>
      <c r="H222" s="860"/>
      <c r="I222" s="5">
        <v>44069</v>
      </c>
      <c r="J222" s="58" t="s">
        <v>1301</v>
      </c>
      <c r="K222" s="247">
        <v>266840</v>
      </c>
      <c r="L222" s="248"/>
      <c r="M222" s="249">
        <f t="shared" si="43"/>
        <v>0</v>
      </c>
      <c r="N222" s="249">
        <f t="shared" si="44"/>
        <v>0</v>
      </c>
      <c r="O222" s="250">
        <f>K222-N222</f>
        <v>266840</v>
      </c>
      <c r="P222" s="249">
        <f t="shared" si="45"/>
        <v>0</v>
      </c>
      <c r="Q222" s="249">
        <f t="shared" si="46"/>
        <v>128971.08</v>
      </c>
      <c r="R222" s="249">
        <f t="shared" si="47"/>
        <v>128971.08</v>
      </c>
      <c r="S222" s="249">
        <f>K222-R222</f>
        <v>137868.91999999998</v>
      </c>
      <c r="T222" s="251">
        <f t="shared" si="48"/>
        <v>128971.08</v>
      </c>
      <c r="U222" s="249">
        <f t="shared" si="49"/>
        <v>137868.92000000001</v>
      </c>
      <c r="V222" s="249">
        <f t="shared" si="50"/>
        <v>266840</v>
      </c>
      <c r="W222" s="249">
        <f>K222-V222</f>
        <v>0</v>
      </c>
      <c r="X222" s="249">
        <f t="shared" si="51"/>
        <v>266840</v>
      </c>
      <c r="Y222" s="18">
        <f t="shared" si="52"/>
        <v>0</v>
      </c>
      <c r="Z222" s="18">
        <f t="shared" si="53"/>
        <v>266840</v>
      </c>
      <c r="AA222" s="18">
        <f>K222-Z222</f>
        <v>0</v>
      </c>
      <c r="AB222" s="223">
        <v>0</v>
      </c>
      <c r="AC222" s="44">
        <v>6</v>
      </c>
      <c r="AD222" s="859"/>
      <c r="AE222" s="69">
        <v>0</v>
      </c>
      <c r="AF222" s="69">
        <v>0</v>
      </c>
      <c r="AG222" s="69" t="s">
        <v>53</v>
      </c>
      <c r="AH222" s="69" t="s">
        <v>53</v>
      </c>
      <c r="AI222" s="69" t="s">
        <v>53</v>
      </c>
      <c r="AJ222" s="69" t="s">
        <v>54</v>
      </c>
      <c r="AK222" s="860"/>
      <c r="AL222" s="7"/>
      <c r="AM222" s="7"/>
      <c r="AN222" s="7"/>
      <c r="AO222" s="7"/>
      <c r="AP222" s="7"/>
      <c r="AQ222" s="7"/>
      <c r="AR222" s="7"/>
      <c r="AS222" s="7"/>
      <c r="AT222" s="7"/>
      <c r="AU222" s="7"/>
      <c r="AV222" s="7"/>
      <c r="AW222" s="7"/>
      <c r="AX222" s="85">
        <f t="shared" si="57"/>
        <v>0</v>
      </c>
      <c r="AY222" s="9"/>
      <c r="AZ222" s="9"/>
      <c r="BA222" s="9"/>
      <c r="BB222" s="9"/>
      <c r="BC222" s="9"/>
      <c r="BD222" s="9"/>
      <c r="BE222" s="9"/>
      <c r="BF222" s="9"/>
      <c r="BG222" s="9"/>
      <c r="BH222" s="9"/>
      <c r="BI222" s="9"/>
      <c r="BJ222" s="9">
        <v>128971.08</v>
      </c>
      <c r="BK222" s="85">
        <f t="shared" si="54"/>
        <v>128971.08</v>
      </c>
      <c r="BL222" s="220"/>
      <c r="BM222" s="39"/>
      <c r="BN222" s="39"/>
      <c r="BO222" s="39"/>
      <c r="BP222" s="39"/>
      <c r="BQ222" s="39"/>
      <c r="BR222" s="39">
        <v>137868.92000000001</v>
      </c>
      <c r="BS222" s="39"/>
      <c r="BT222" s="39"/>
      <c r="BU222" s="39"/>
      <c r="BV222" s="39"/>
      <c r="BW222" s="52"/>
      <c r="BX222" s="87">
        <f t="shared" si="55"/>
        <v>137868.92000000001</v>
      </c>
      <c r="BY222" s="112"/>
      <c r="BZ222" s="112"/>
      <c r="CA222" s="112"/>
      <c r="CB222" s="112"/>
      <c r="CC222" s="112"/>
      <c r="CD222" s="112"/>
      <c r="CE222" s="112"/>
      <c r="CF222" s="112"/>
      <c r="CG222" s="112"/>
      <c r="CH222" s="112"/>
      <c r="CI222" s="112"/>
      <c r="CJ222" s="112"/>
      <c r="CK222" s="112">
        <f t="shared" si="56"/>
        <v>0</v>
      </c>
      <c r="DC222" s="518"/>
      <c r="DD222" s="518"/>
      <c r="DE222" s="518"/>
      <c r="DF222" s="518"/>
      <c r="DG222" s="518"/>
      <c r="DH222" s="518"/>
      <c r="DI222" s="518"/>
      <c r="DJ222" s="518"/>
      <c r="DK222" s="518"/>
      <c r="DL222" s="518"/>
      <c r="DM222" s="518"/>
      <c r="DN222" s="518"/>
      <c r="DO222" s="518">
        <f t="shared" si="42"/>
        <v>0</v>
      </c>
    </row>
    <row r="223" spans="1:119" ht="25.9" customHeight="1" x14ac:dyDescent="0.25">
      <c r="A223" s="859"/>
      <c r="B223" s="860"/>
      <c r="C223" s="859"/>
      <c r="D223" s="239" t="s">
        <v>135</v>
      </c>
      <c r="E223" s="20" t="s">
        <v>136</v>
      </c>
      <c r="F223" s="4" t="s">
        <v>49</v>
      </c>
      <c r="G223" s="860"/>
      <c r="H223" s="860"/>
      <c r="I223" s="266">
        <v>43650</v>
      </c>
      <c r="J223" s="270">
        <v>44746</v>
      </c>
      <c r="K223" s="275" t="s">
        <v>137</v>
      </c>
      <c r="L223" s="9"/>
      <c r="M223" s="18">
        <f t="shared" si="43"/>
        <v>216162.65950000001</v>
      </c>
      <c r="N223" s="18">
        <f t="shared" si="44"/>
        <v>216162.65950000001</v>
      </c>
      <c r="O223" s="222"/>
      <c r="P223" s="18">
        <f t="shared" si="45"/>
        <v>216162.65950000001</v>
      </c>
      <c r="Q223" s="18">
        <f t="shared" si="46"/>
        <v>271426.12</v>
      </c>
      <c r="R223" s="18">
        <f t="shared" si="47"/>
        <v>487588.7795</v>
      </c>
      <c r="S223" s="18"/>
      <c r="T223" s="21">
        <f t="shared" si="48"/>
        <v>487588.7795</v>
      </c>
      <c r="U223" s="18">
        <f t="shared" si="49"/>
        <v>0</v>
      </c>
      <c r="V223" s="18">
        <f t="shared" si="50"/>
        <v>487588.7795</v>
      </c>
      <c r="W223" s="18"/>
      <c r="X223" s="18">
        <f t="shared" si="51"/>
        <v>487588.7795</v>
      </c>
      <c r="Y223" s="18">
        <f t="shared" si="52"/>
        <v>0</v>
      </c>
      <c r="Z223" s="18">
        <f t="shared" si="53"/>
        <v>487588.7795</v>
      </c>
      <c r="AA223" s="18"/>
      <c r="AB223" s="223">
        <v>0</v>
      </c>
      <c r="AC223" s="44">
        <v>36</v>
      </c>
      <c r="AD223" s="859"/>
      <c r="AE223" s="69">
        <v>0</v>
      </c>
      <c r="AF223" s="69">
        <v>0</v>
      </c>
      <c r="AG223" s="69" t="s">
        <v>53</v>
      </c>
      <c r="AH223" s="69" t="s">
        <v>53</v>
      </c>
      <c r="AI223" s="69" t="s">
        <v>53</v>
      </c>
      <c r="AJ223" s="69" t="s">
        <v>54</v>
      </c>
      <c r="AK223" s="860"/>
      <c r="AL223" s="7"/>
      <c r="AM223" s="7"/>
      <c r="AN223" s="7"/>
      <c r="AO223" s="7"/>
      <c r="AP223" s="7">
        <v>216162.65950000001</v>
      </c>
      <c r="AQ223" s="7"/>
      <c r="AR223" s="7"/>
      <c r="AS223" s="7"/>
      <c r="AT223" s="7"/>
      <c r="AU223" s="7"/>
      <c r="AV223" s="7"/>
      <c r="AW223" s="7"/>
      <c r="AX223" s="85">
        <f t="shared" si="57"/>
        <v>216162.65950000001</v>
      </c>
      <c r="AY223" s="9">
        <v>101308.79000000001</v>
      </c>
      <c r="AZ223" s="9"/>
      <c r="BA223" s="9"/>
      <c r="BB223" s="9"/>
      <c r="BC223" s="9"/>
      <c r="BD223" s="9"/>
      <c r="BE223" s="9"/>
      <c r="BF223" s="9">
        <f>119380.58+50736.75</f>
        <v>170117.33000000002</v>
      </c>
      <c r="BG223" s="9"/>
      <c r="BH223" s="9"/>
      <c r="BI223" s="9"/>
      <c r="BJ223" s="9"/>
      <c r="BK223" s="85">
        <f t="shared" si="54"/>
        <v>271426.12</v>
      </c>
      <c r="BL223" s="220"/>
      <c r="BM223" s="39"/>
      <c r="BN223" s="39"/>
      <c r="BO223" s="39"/>
      <c r="BP223" s="39"/>
      <c r="BQ223" s="39"/>
      <c r="BR223" s="39"/>
      <c r="BS223" s="39"/>
      <c r="BT223" s="39"/>
      <c r="BU223" s="39"/>
      <c r="BV223" s="39"/>
      <c r="BW223" s="52"/>
      <c r="BX223" s="87">
        <f t="shared" si="55"/>
        <v>0</v>
      </c>
      <c r="BY223" s="112"/>
      <c r="BZ223" s="112"/>
      <c r="CA223" s="112"/>
      <c r="CB223" s="112"/>
      <c r="CC223" s="112"/>
      <c r="CD223" s="112"/>
      <c r="CE223" s="112"/>
      <c r="CF223" s="112"/>
      <c r="CG223" s="112"/>
      <c r="CH223" s="112"/>
      <c r="CI223" s="112"/>
      <c r="CJ223" s="112"/>
      <c r="CK223" s="112">
        <f t="shared" si="56"/>
        <v>0</v>
      </c>
      <c r="DC223" s="518"/>
      <c r="DD223" s="518"/>
      <c r="DE223" s="518"/>
      <c r="DF223" s="518"/>
      <c r="DG223" s="518"/>
      <c r="DH223" s="518"/>
      <c r="DI223" s="518"/>
      <c r="DJ223" s="518"/>
      <c r="DK223" s="518"/>
      <c r="DL223" s="518"/>
      <c r="DM223" s="518"/>
      <c r="DN223" s="518"/>
      <c r="DO223" s="518">
        <f t="shared" si="42"/>
        <v>0</v>
      </c>
    </row>
    <row r="224" spans="1:119" s="62" customFormat="1" ht="30" customHeight="1" x14ac:dyDescent="0.2">
      <c r="A224" s="859" t="s">
        <v>195</v>
      </c>
      <c r="B224" s="860" t="s">
        <v>57</v>
      </c>
      <c r="C224" s="859" t="s">
        <v>196</v>
      </c>
      <c r="D224" s="239" t="s">
        <v>197</v>
      </c>
      <c r="E224" s="4" t="s">
        <v>198</v>
      </c>
      <c r="F224" s="4" t="s">
        <v>49</v>
      </c>
      <c r="G224" s="860" t="s">
        <v>50</v>
      </c>
      <c r="H224" s="860" t="s">
        <v>61</v>
      </c>
      <c r="I224" s="266">
        <v>43956</v>
      </c>
      <c r="J224" s="58">
        <v>44140</v>
      </c>
      <c r="K224" s="204">
        <v>3162500</v>
      </c>
      <c r="L224" s="183"/>
      <c r="M224" s="18">
        <f t="shared" si="43"/>
        <v>0</v>
      </c>
      <c r="N224" s="18">
        <f t="shared" si="44"/>
        <v>0</v>
      </c>
      <c r="O224" s="149">
        <f>K224-N224</f>
        <v>3162500</v>
      </c>
      <c r="P224" s="154">
        <f t="shared" si="45"/>
        <v>0</v>
      </c>
      <c r="Q224" s="66">
        <f t="shared" si="46"/>
        <v>3193964.9314999999</v>
      </c>
      <c r="R224" s="18">
        <f t="shared" si="47"/>
        <v>3193964.9314999999</v>
      </c>
      <c r="S224" s="156">
        <f>K224-R224</f>
        <v>-31464.931499999948</v>
      </c>
      <c r="T224" s="160">
        <f t="shared" si="48"/>
        <v>3193964.9314999999</v>
      </c>
      <c r="U224" s="18">
        <f t="shared" si="49"/>
        <v>0</v>
      </c>
      <c r="V224" s="18">
        <f t="shared" si="50"/>
        <v>3193964.9314999999</v>
      </c>
      <c r="W224" s="216">
        <f>K224-V224</f>
        <v>-31464.931499999948</v>
      </c>
      <c r="X224" s="246">
        <f t="shared" si="51"/>
        <v>3193964.9314999999</v>
      </c>
      <c r="Y224" s="18">
        <f t="shared" si="52"/>
        <v>0</v>
      </c>
      <c r="Z224" s="18">
        <f t="shared" si="53"/>
        <v>3193964.9314999999</v>
      </c>
      <c r="AA224" s="18">
        <f>K224-Z224</f>
        <v>-31464.931499999948</v>
      </c>
      <c r="AB224" s="158">
        <v>0</v>
      </c>
      <c r="AC224" s="44">
        <v>6</v>
      </c>
      <c r="AD224" s="863" t="s">
        <v>517</v>
      </c>
      <c r="AE224" s="69">
        <v>0</v>
      </c>
      <c r="AF224" s="69">
        <v>0</v>
      </c>
      <c r="AG224" s="69" t="s">
        <v>53</v>
      </c>
      <c r="AH224" s="69" t="s">
        <v>53</v>
      </c>
      <c r="AI224" s="69" t="s">
        <v>53</v>
      </c>
      <c r="AJ224" s="69" t="s">
        <v>54</v>
      </c>
      <c r="AK224" s="866" t="s">
        <v>70</v>
      </c>
      <c r="AL224" s="7"/>
      <c r="AM224" s="7"/>
      <c r="AN224" s="7"/>
      <c r="AO224" s="7"/>
      <c r="AP224" s="7"/>
      <c r="AQ224" s="7"/>
      <c r="AR224" s="7"/>
      <c r="AS224" s="7"/>
      <c r="AT224" s="7"/>
      <c r="AU224" s="7"/>
      <c r="AV224" s="7"/>
      <c r="AW224" s="7"/>
      <c r="AX224" s="85">
        <f t="shared" si="57"/>
        <v>0</v>
      </c>
      <c r="AY224" s="22">
        <f>1324827.6+335901.2</f>
        <v>1660728.8</v>
      </c>
      <c r="AZ224" s="22"/>
      <c r="BA224" s="22">
        <v>241715.05</v>
      </c>
      <c r="BB224" s="22">
        <v>1291521.0815000001</v>
      </c>
      <c r="BC224" s="22"/>
      <c r="BD224" s="22"/>
      <c r="BE224" s="22"/>
      <c r="BF224" s="22"/>
      <c r="BG224" s="22"/>
      <c r="BH224" s="22"/>
      <c r="BI224" s="22"/>
      <c r="BJ224" s="22"/>
      <c r="BK224" s="85">
        <f t="shared" si="54"/>
        <v>3193964.9314999999</v>
      </c>
      <c r="BL224" s="41"/>
      <c r="BM224" s="41"/>
      <c r="BN224" s="41"/>
      <c r="BO224" s="41"/>
      <c r="BP224" s="41"/>
      <c r="BQ224" s="41"/>
      <c r="BR224" s="41"/>
      <c r="BS224" s="41"/>
      <c r="BT224" s="41"/>
      <c r="BU224" s="41"/>
      <c r="BV224" s="41"/>
      <c r="BW224" s="55"/>
      <c r="BX224" s="87">
        <f t="shared" si="55"/>
        <v>0</v>
      </c>
      <c r="BY224" s="229"/>
      <c r="BZ224" s="229"/>
      <c r="CA224" s="229"/>
      <c r="CB224" s="229"/>
      <c r="CC224" s="229"/>
      <c r="CD224" s="229"/>
      <c r="CE224" s="229"/>
      <c r="CF224" s="229"/>
      <c r="CG224" s="229"/>
      <c r="CH224" s="229"/>
      <c r="CI224" s="229"/>
      <c r="CJ224" s="229"/>
      <c r="CK224" s="112">
        <f t="shared" si="56"/>
        <v>0</v>
      </c>
      <c r="DC224" s="20"/>
      <c r="DD224" s="20"/>
      <c r="DE224" s="20"/>
      <c r="DF224" s="20"/>
      <c r="DG224" s="20"/>
      <c r="DH224" s="20"/>
      <c r="DI224" s="20"/>
      <c r="DJ224" s="20"/>
      <c r="DK224" s="20"/>
      <c r="DL224" s="20"/>
      <c r="DM224" s="20"/>
      <c r="DN224" s="20"/>
      <c r="DO224" s="20">
        <f t="shared" si="42"/>
        <v>0</v>
      </c>
    </row>
    <row r="225" spans="1:119" s="62" customFormat="1" ht="30" customHeight="1" x14ac:dyDescent="0.2">
      <c r="A225" s="859"/>
      <c r="B225" s="860"/>
      <c r="C225" s="859"/>
      <c r="D225" s="4" t="s">
        <v>199</v>
      </c>
      <c r="E225" s="4" t="s">
        <v>200</v>
      </c>
      <c r="F225" s="4" t="s">
        <v>49</v>
      </c>
      <c r="G225" s="860"/>
      <c r="H225" s="860"/>
      <c r="I225" s="5">
        <v>43650</v>
      </c>
      <c r="J225" s="58">
        <v>44746</v>
      </c>
      <c r="K225" s="199" t="s">
        <v>201</v>
      </c>
      <c r="L225" s="183"/>
      <c r="M225" s="18">
        <f t="shared" si="43"/>
        <v>369976.5625</v>
      </c>
      <c r="N225" s="18">
        <f t="shared" si="44"/>
        <v>369976.5625</v>
      </c>
      <c r="O225" s="149"/>
      <c r="P225" s="154">
        <f t="shared" si="45"/>
        <v>369976.5625</v>
      </c>
      <c r="Q225" s="66">
        <f t="shared" si="46"/>
        <v>148831.90749999997</v>
      </c>
      <c r="R225" s="18">
        <f t="shared" si="47"/>
        <v>518808.47</v>
      </c>
      <c r="S225" s="156"/>
      <c r="T225" s="160">
        <f t="shared" si="48"/>
        <v>518808.47</v>
      </c>
      <c r="U225" s="18">
        <f t="shared" si="49"/>
        <v>0</v>
      </c>
      <c r="V225" s="18">
        <f t="shared" si="50"/>
        <v>518808.47</v>
      </c>
      <c r="W225" s="216"/>
      <c r="X225" s="18">
        <f t="shared" si="51"/>
        <v>518808.47</v>
      </c>
      <c r="Y225" s="18">
        <f t="shared" si="52"/>
        <v>0</v>
      </c>
      <c r="Z225" s="18">
        <f t="shared" si="53"/>
        <v>518808.47</v>
      </c>
      <c r="AA225" s="18"/>
      <c r="AB225" s="158">
        <v>0</v>
      </c>
      <c r="AC225" s="44">
        <v>36</v>
      </c>
      <c r="AD225" s="865"/>
      <c r="AE225" s="69">
        <v>0</v>
      </c>
      <c r="AF225" s="69">
        <v>0</v>
      </c>
      <c r="AG225" s="69" t="s">
        <v>53</v>
      </c>
      <c r="AH225" s="69" t="s">
        <v>53</v>
      </c>
      <c r="AI225" s="69" t="s">
        <v>53</v>
      </c>
      <c r="AJ225" s="69" t="s">
        <v>54</v>
      </c>
      <c r="AK225" s="868"/>
      <c r="AL225" s="7"/>
      <c r="AM225" s="7"/>
      <c r="AN225" s="7"/>
      <c r="AO225" s="7"/>
      <c r="AP225" s="7"/>
      <c r="AQ225" s="7"/>
      <c r="AR225" s="7"/>
      <c r="AS225" s="7"/>
      <c r="AT225" s="7"/>
      <c r="AU225" s="7">
        <v>369976.5625</v>
      </c>
      <c r="AV225" s="7"/>
      <c r="AW225" s="7"/>
      <c r="AX225" s="85">
        <f t="shared" si="57"/>
        <v>369976.5625</v>
      </c>
      <c r="AY225" s="22">
        <v>29191.1515</v>
      </c>
      <c r="AZ225" s="22"/>
      <c r="BA225" s="22"/>
      <c r="BB225" s="22">
        <v>37905.517999999996</v>
      </c>
      <c r="BC225" s="22"/>
      <c r="BD225" s="22"/>
      <c r="BE225" s="22">
        <v>81735.237999999998</v>
      </c>
      <c r="BF225" s="22"/>
      <c r="BG225" s="22"/>
      <c r="BH225" s="22"/>
      <c r="BI225" s="22"/>
      <c r="BJ225" s="22"/>
      <c r="BK225" s="85">
        <f t="shared" si="54"/>
        <v>148831.90749999997</v>
      </c>
      <c r="BL225" s="41"/>
      <c r="BM225" s="41"/>
      <c r="BN225" s="41"/>
      <c r="BO225" s="41"/>
      <c r="BP225" s="41"/>
      <c r="BQ225" s="41"/>
      <c r="BR225" s="41"/>
      <c r="BS225" s="41"/>
      <c r="BT225" s="41"/>
      <c r="BU225" s="41"/>
      <c r="BV225" s="41"/>
      <c r="BW225" s="55"/>
      <c r="BX225" s="87">
        <f t="shared" si="55"/>
        <v>0</v>
      </c>
      <c r="BY225" s="228"/>
      <c r="BZ225" s="229"/>
      <c r="CA225" s="229"/>
      <c r="CB225" s="229"/>
      <c r="CC225" s="229"/>
      <c r="CD225" s="229"/>
      <c r="CE225" s="229"/>
      <c r="CF225" s="229"/>
      <c r="CG225" s="229"/>
      <c r="CH225" s="229"/>
      <c r="CI225" s="229"/>
      <c r="CJ225" s="229"/>
      <c r="CK225" s="112">
        <f t="shared" si="56"/>
        <v>0</v>
      </c>
      <c r="DC225" s="20"/>
      <c r="DD225" s="20"/>
      <c r="DE225" s="20"/>
      <c r="DF225" s="20"/>
      <c r="DG225" s="20"/>
      <c r="DH225" s="20"/>
      <c r="DI225" s="20"/>
      <c r="DJ225" s="20"/>
      <c r="DK225" s="20"/>
      <c r="DL225" s="20"/>
      <c r="DM225" s="20"/>
      <c r="DN225" s="20"/>
      <c r="DO225" s="20">
        <f t="shared" si="42"/>
        <v>0</v>
      </c>
    </row>
    <row r="226" spans="1:119" s="13" customFormat="1" ht="43.5" customHeight="1" x14ac:dyDescent="0.2">
      <c r="A226" s="44" t="s">
        <v>202</v>
      </c>
      <c r="B226" s="45" t="s">
        <v>57</v>
      </c>
      <c r="C226" s="44" t="s">
        <v>203</v>
      </c>
      <c r="D226" s="4" t="s">
        <v>204</v>
      </c>
      <c r="E226" s="4" t="s">
        <v>205</v>
      </c>
      <c r="F226" s="4" t="s">
        <v>49</v>
      </c>
      <c r="G226" s="45" t="s">
        <v>50</v>
      </c>
      <c r="H226" s="45" t="s">
        <v>61</v>
      </c>
      <c r="I226" s="5">
        <v>43956</v>
      </c>
      <c r="J226" s="58">
        <v>44079</v>
      </c>
      <c r="K226" s="252">
        <v>920617.5</v>
      </c>
      <c r="L226" s="150"/>
      <c r="M226" s="249">
        <f t="shared" si="43"/>
        <v>325715</v>
      </c>
      <c r="N226" s="249">
        <f t="shared" si="44"/>
        <v>325715</v>
      </c>
      <c r="O226" s="253">
        <f>K226-N226</f>
        <v>594902.5</v>
      </c>
      <c r="P226" s="254">
        <f t="shared" si="45"/>
        <v>325715</v>
      </c>
      <c r="Q226" s="255">
        <f t="shared" si="46"/>
        <v>594902.5</v>
      </c>
      <c r="R226" s="249">
        <f t="shared" si="47"/>
        <v>920617.5</v>
      </c>
      <c r="S226" s="256">
        <f>K226-R226</f>
        <v>0</v>
      </c>
      <c r="T226" s="257">
        <f t="shared" si="48"/>
        <v>920617.5</v>
      </c>
      <c r="U226" s="249">
        <f t="shared" si="49"/>
        <v>0</v>
      </c>
      <c r="V226" s="249">
        <f t="shared" si="50"/>
        <v>920617.5</v>
      </c>
      <c r="W226" s="258">
        <f>K226-V226</f>
        <v>0</v>
      </c>
      <c r="X226" s="249">
        <f t="shared" si="51"/>
        <v>920617.5</v>
      </c>
      <c r="Y226" s="18">
        <f t="shared" si="52"/>
        <v>0</v>
      </c>
      <c r="Z226" s="18">
        <f t="shared" si="53"/>
        <v>920617.5</v>
      </c>
      <c r="AA226" s="18">
        <f>K226-Z226</f>
        <v>0</v>
      </c>
      <c r="AB226" s="158">
        <v>0</v>
      </c>
      <c r="AC226" s="44">
        <v>4</v>
      </c>
      <c r="AD226" s="44" t="s">
        <v>517</v>
      </c>
      <c r="AE226" s="69">
        <v>0</v>
      </c>
      <c r="AF226" s="69">
        <v>0</v>
      </c>
      <c r="AG226" s="69" t="s">
        <v>53</v>
      </c>
      <c r="AH226" s="69" t="s">
        <v>53</v>
      </c>
      <c r="AI226" s="69" t="s">
        <v>53</v>
      </c>
      <c r="AJ226" s="69" t="s">
        <v>54</v>
      </c>
      <c r="AK226" s="45" t="s">
        <v>70</v>
      </c>
      <c r="AL226" s="7"/>
      <c r="AM226" s="7"/>
      <c r="AN226" s="7"/>
      <c r="AO226" s="7"/>
      <c r="AP226" s="7"/>
      <c r="AQ226" s="7"/>
      <c r="AR226" s="7"/>
      <c r="AS226" s="7"/>
      <c r="AT226" s="7"/>
      <c r="AU226" s="7"/>
      <c r="AV226" s="7"/>
      <c r="AW226" s="7">
        <v>325715</v>
      </c>
      <c r="AX226" s="85">
        <f t="shared" si="57"/>
        <v>325715</v>
      </c>
      <c r="AY226" s="11"/>
      <c r="AZ226" s="11">
        <v>594902.5</v>
      </c>
      <c r="BA226" s="11"/>
      <c r="BB226" s="11"/>
      <c r="BC226" s="11"/>
      <c r="BD226" s="11"/>
      <c r="BE226" s="11"/>
      <c r="BF226" s="11"/>
      <c r="BG226" s="11"/>
      <c r="BH226" s="11"/>
      <c r="BI226" s="11"/>
      <c r="BJ226" s="11"/>
      <c r="BK226" s="85">
        <f t="shared" si="54"/>
        <v>594902.5</v>
      </c>
      <c r="BL226" s="40"/>
      <c r="BM226" s="40"/>
      <c r="BN226" s="40"/>
      <c r="BO226" s="40"/>
      <c r="BP226" s="40"/>
      <c r="BQ226" s="40"/>
      <c r="BR226" s="40"/>
      <c r="BS226" s="40"/>
      <c r="BT226" s="40"/>
      <c r="BU226" s="40"/>
      <c r="BV226" s="40"/>
      <c r="BW226" s="54"/>
      <c r="BX226" s="87">
        <f t="shared" si="55"/>
        <v>0</v>
      </c>
      <c r="BY226" s="228"/>
      <c r="BZ226" s="228"/>
      <c r="CA226" s="228"/>
      <c r="CB226" s="228"/>
      <c r="CC226" s="228"/>
      <c r="CD226" s="228"/>
      <c r="CE226" s="228"/>
      <c r="CF226" s="228"/>
      <c r="CG226" s="228"/>
      <c r="CH226" s="228"/>
      <c r="CI226" s="228"/>
      <c r="CJ226" s="228"/>
      <c r="CK226" s="112">
        <f t="shared" si="56"/>
        <v>0</v>
      </c>
      <c r="DC226" s="2"/>
      <c r="DD226" s="2"/>
      <c r="DE226" s="2"/>
      <c r="DF226" s="2"/>
      <c r="DG226" s="2"/>
      <c r="DH226" s="2"/>
      <c r="DI226" s="2"/>
      <c r="DJ226" s="2"/>
      <c r="DK226" s="2"/>
      <c r="DL226" s="2"/>
      <c r="DM226" s="2"/>
      <c r="DN226" s="2"/>
      <c r="DO226" s="2">
        <f t="shared" si="42"/>
        <v>0</v>
      </c>
    </row>
    <row r="227" spans="1:119" s="13" customFormat="1" ht="47.25" customHeight="1" x14ac:dyDescent="0.2">
      <c r="A227" s="859" t="s">
        <v>206</v>
      </c>
      <c r="B227" s="860" t="s">
        <v>57</v>
      </c>
      <c r="C227" s="859" t="s">
        <v>207</v>
      </c>
      <c r="D227" s="4" t="s">
        <v>208</v>
      </c>
      <c r="E227" s="4" t="s">
        <v>209</v>
      </c>
      <c r="F227" s="4" t="s">
        <v>49</v>
      </c>
      <c r="G227" s="860" t="s">
        <v>50</v>
      </c>
      <c r="H227" s="860" t="s">
        <v>61</v>
      </c>
      <c r="I227" s="5">
        <v>43956</v>
      </c>
      <c r="J227" s="58">
        <v>44079</v>
      </c>
      <c r="K227" s="197">
        <v>709588</v>
      </c>
      <c r="L227" s="150"/>
      <c r="M227" s="18">
        <f t="shared" si="43"/>
        <v>121399.99</v>
      </c>
      <c r="N227" s="18">
        <f t="shared" si="44"/>
        <v>121399.99</v>
      </c>
      <c r="O227" s="149">
        <f>K227-N227</f>
        <v>588188.01</v>
      </c>
      <c r="P227" s="154">
        <f t="shared" si="45"/>
        <v>121399.99</v>
      </c>
      <c r="Q227" s="66">
        <f t="shared" si="46"/>
        <v>579342.48</v>
      </c>
      <c r="R227" s="18">
        <f t="shared" si="47"/>
        <v>700742.47</v>
      </c>
      <c r="S227" s="156">
        <f>K227-R227</f>
        <v>8845.5300000000279</v>
      </c>
      <c r="T227" s="160">
        <f t="shared" si="48"/>
        <v>700742.47</v>
      </c>
      <c r="U227" s="18">
        <f t="shared" si="49"/>
        <v>0</v>
      </c>
      <c r="V227" s="18">
        <f t="shared" si="50"/>
        <v>700742.47</v>
      </c>
      <c r="W227" s="216">
        <f>K227-V227</f>
        <v>8845.5300000000279</v>
      </c>
      <c r="X227" s="18">
        <f t="shared" si="51"/>
        <v>700742.47</v>
      </c>
      <c r="Y227" s="18">
        <f t="shared" si="52"/>
        <v>0</v>
      </c>
      <c r="Z227" s="18">
        <f t="shared" si="53"/>
        <v>700742.47</v>
      </c>
      <c r="AA227" s="18">
        <f>K227-Z227</f>
        <v>8845.5300000000279</v>
      </c>
      <c r="AB227" s="158">
        <v>0</v>
      </c>
      <c r="AC227" s="44">
        <v>4</v>
      </c>
      <c r="AD227" s="863" t="s">
        <v>517</v>
      </c>
      <c r="AE227" s="69">
        <v>0</v>
      </c>
      <c r="AF227" s="69">
        <v>0</v>
      </c>
      <c r="AG227" s="69" t="s">
        <v>53</v>
      </c>
      <c r="AH227" s="69" t="s">
        <v>53</v>
      </c>
      <c r="AI227" s="69" t="s">
        <v>53</v>
      </c>
      <c r="AJ227" s="69" t="s">
        <v>54</v>
      </c>
      <c r="AK227" s="866" t="s">
        <v>70</v>
      </c>
      <c r="AL227" s="7"/>
      <c r="AM227" s="7"/>
      <c r="AN227" s="7"/>
      <c r="AO227" s="7"/>
      <c r="AP227" s="7"/>
      <c r="AQ227" s="7"/>
      <c r="AR227" s="7"/>
      <c r="AS227" s="7"/>
      <c r="AT227" s="7"/>
      <c r="AU227" s="7"/>
      <c r="AV227" s="7"/>
      <c r="AW227" s="7">
        <v>121399.99</v>
      </c>
      <c r="AX227" s="85">
        <f t="shared" si="57"/>
        <v>121399.99</v>
      </c>
      <c r="AY227" s="11">
        <v>125039.99</v>
      </c>
      <c r="AZ227" s="11"/>
      <c r="BA227" s="11">
        <v>306070</v>
      </c>
      <c r="BB227" s="11">
        <v>148232.49</v>
      </c>
      <c r="BC227" s="11"/>
      <c r="BD227" s="11"/>
      <c r="BE227" s="11"/>
      <c r="BF227" s="11"/>
      <c r="BG227" s="11"/>
      <c r="BH227" s="11"/>
      <c r="BI227" s="11"/>
      <c r="BJ227" s="11"/>
      <c r="BK227" s="85">
        <f t="shared" si="54"/>
        <v>579342.48</v>
      </c>
      <c r="BL227" s="40"/>
      <c r="BM227" s="40"/>
      <c r="BN227" s="40"/>
      <c r="BO227" s="40"/>
      <c r="BP227" s="40"/>
      <c r="BQ227" s="40"/>
      <c r="BR227" s="40"/>
      <c r="BS227" s="40"/>
      <c r="BT227" s="40"/>
      <c r="BU227" s="40"/>
      <c r="BV227" s="40"/>
      <c r="BW227" s="54"/>
      <c r="BX227" s="87">
        <f t="shared" si="55"/>
        <v>0</v>
      </c>
      <c r="BY227" s="228"/>
      <c r="BZ227" s="228"/>
      <c r="CA227" s="228"/>
      <c r="CB227" s="228"/>
      <c r="CC227" s="228"/>
      <c r="CD227" s="228"/>
      <c r="CE227" s="228"/>
      <c r="CF227" s="228"/>
      <c r="CG227" s="228"/>
      <c r="CH227" s="228"/>
      <c r="CI227" s="228"/>
      <c r="CJ227" s="228"/>
      <c r="CK227" s="112">
        <f t="shared" si="56"/>
        <v>0</v>
      </c>
      <c r="DC227" s="2"/>
      <c r="DD227" s="2"/>
      <c r="DE227" s="2"/>
      <c r="DF227" s="2"/>
      <c r="DG227" s="2"/>
      <c r="DH227" s="2"/>
      <c r="DI227" s="2"/>
      <c r="DJ227" s="2"/>
      <c r="DK227" s="2"/>
      <c r="DL227" s="2"/>
      <c r="DM227" s="2"/>
      <c r="DN227" s="2"/>
      <c r="DO227" s="2">
        <f t="shared" si="42"/>
        <v>0</v>
      </c>
    </row>
    <row r="228" spans="1:119" s="13" customFormat="1" ht="47.25" customHeight="1" x14ac:dyDescent="0.2">
      <c r="A228" s="859"/>
      <c r="B228" s="860"/>
      <c r="C228" s="859"/>
      <c r="D228" s="4" t="s">
        <v>210</v>
      </c>
      <c r="E228" s="4" t="s">
        <v>73</v>
      </c>
      <c r="F228" s="4" t="s">
        <v>49</v>
      </c>
      <c r="G228" s="860"/>
      <c r="H228" s="860"/>
      <c r="I228" s="5" t="s">
        <v>1301</v>
      </c>
      <c r="J228" s="5" t="s">
        <v>1301</v>
      </c>
      <c r="K228" s="196">
        <v>0</v>
      </c>
      <c r="L228" s="150"/>
      <c r="M228" s="18">
        <f t="shared" si="43"/>
        <v>0</v>
      </c>
      <c r="N228" s="18">
        <f t="shared" si="44"/>
        <v>0</v>
      </c>
      <c r="O228" s="149"/>
      <c r="P228" s="154">
        <f t="shared" si="45"/>
        <v>0</v>
      </c>
      <c r="Q228" s="66">
        <f t="shared" si="46"/>
        <v>0</v>
      </c>
      <c r="R228" s="18">
        <f t="shared" si="47"/>
        <v>0</v>
      </c>
      <c r="S228" s="156"/>
      <c r="T228" s="160">
        <f t="shared" si="48"/>
        <v>0</v>
      </c>
      <c r="U228" s="18">
        <f t="shared" si="49"/>
        <v>0</v>
      </c>
      <c r="V228" s="18">
        <f t="shared" si="50"/>
        <v>0</v>
      </c>
      <c r="W228" s="216"/>
      <c r="X228" s="18">
        <f t="shared" si="51"/>
        <v>0</v>
      </c>
      <c r="Y228" s="18">
        <f t="shared" si="52"/>
        <v>0</v>
      </c>
      <c r="Z228" s="18">
        <f t="shared" si="53"/>
        <v>0</v>
      </c>
      <c r="AA228" s="18">
        <f>K228-Z228</f>
        <v>0</v>
      </c>
      <c r="AB228" s="158">
        <v>0</v>
      </c>
      <c r="AC228" s="44" t="s">
        <v>1301</v>
      </c>
      <c r="AD228" s="864"/>
      <c r="AE228" s="69">
        <v>0</v>
      </c>
      <c r="AF228" s="69">
        <v>0</v>
      </c>
      <c r="AG228" s="69" t="s">
        <v>53</v>
      </c>
      <c r="AH228" s="69" t="s">
        <v>53</v>
      </c>
      <c r="AI228" s="69" t="s">
        <v>53</v>
      </c>
      <c r="AJ228" s="69" t="s">
        <v>54</v>
      </c>
      <c r="AK228" s="867"/>
      <c r="AL228" s="7"/>
      <c r="AM228" s="7"/>
      <c r="AN228" s="7"/>
      <c r="AO228" s="7"/>
      <c r="AP228" s="7"/>
      <c r="AQ228" s="7"/>
      <c r="AR228" s="7"/>
      <c r="AS228" s="7"/>
      <c r="AT228" s="7"/>
      <c r="AU228" s="7"/>
      <c r="AV228" s="7"/>
      <c r="AW228" s="7"/>
      <c r="AX228" s="85">
        <f t="shared" si="57"/>
        <v>0</v>
      </c>
      <c r="AY228" s="11"/>
      <c r="AZ228" s="11"/>
      <c r="BA228" s="11"/>
      <c r="BB228" s="11"/>
      <c r="BC228" s="11"/>
      <c r="BD228" s="11"/>
      <c r="BE228" s="11"/>
      <c r="BF228" s="11"/>
      <c r="BG228" s="11"/>
      <c r="BH228" s="11"/>
      <c r="BI228" s="11"/>
      <c r="BJ228" s="11"/>
      <c r="BK228" s="85">
        <f t="shared" si="54"/>
        <v>0</v>
      </c>
      <c r="BL228" s="40"/>
      <c r="BM228" s="40"/>
      <c r="BN228" s="40"/>
      <c r="BO228" s="40"/>
      <c r="BP228" s="40"/>
      <c r="BQ228" s="40"/>
      <c r="BR228" s="40"/>
      <c r="BS228" s="40"/>
      <c r="BT228" s="40"/>
      <c r="BU228" s="40"/>
      <c r="BV228" s="40"/>
      <c r="BW228" s="54"/>
      <c r="BX228" s="87">
        <f t="shared" si="55"/>
        <v>0</v>
      </c>
      <c r="BY228" s="228"/>
      <c r="BZ228" s="228"/>
      <c r="CA228" s="228"/>
      <c r="CB228" s="228"/>
      <c r="CC228" s="228"/>
      <c r="CD228" s="228"/>
      <c r="CE228" s="228"/>
      <c r="CF228" s="228"/>
      <c r="CG228" s="228"/>
      <c r="CH228" s="228"/>
      <c r="CI228" s="228"/>
      <c r="CJ228" s="228"/>
      <c r="CK228" s="112">
        <f t="shared" si="56"/>
        <v>0</v>
      </c>
      <c r="DC228" s="2"/>
      <c r="DD228" s="2"/>
      <c r="DE228" s="2"/>
      <c r="DF228" s="2"/>
      <c r="DG228" s="2"/>
      <c r="DH228" s="2"/>
      <c r="DI228" s="2"/>
      <c r="DJ228" s="2"/>
      <c r="DK228" s="2"/>
      <c r="DL228" s="2"/>
      <c r="DM228" s="2"/>
      <c r="DN228" s="2"/>
      <c r="DO228" s="2">
        <f t="shared" si="42"/>
        <v>0</v>
      </c>
    </row>
    <row r="229" spans="1:119" s="13" customFormat="1" ht="47.25" customHeight="1" x14ac:dyDescent="0.2">
      <c r="A229" s="859"/>
      <c r="B229" s="860"/>
      <c r="C229" s="859"/>
      <c r="D229" s="4" t="s">
        <v>64</v>
      </c>
      <c r="E229" s="4" t="s">
        <v>65</v>
      </c>
      <c r="F229" s="4" t="s">
        <v>49</v>
      </c>
      <c r="G229" s="860"/>
      <c r="H229" s="860"/>
      <c r="I229" s="5" t="s">
        <v>1301</v>
      </c>
      <c r="J229" s="5" t="s">
        <v>1301</v>
      </c>
      <c r="K229" s="196">
        <v>0</v>
      </c>
      <c r="L229" s="150"/>
      <c r="M229" s="18">
        <f t="shared" si="43"/>
        <v>0</v>
      </c>
      <c r="N229" s="18">
        <f t="shared" si="44"/>
        <v>0</v>
      </c>
      <c r="O229" s="149"/>
      <c r="P229" s="154">
        <f t="shared" si="45"/>
        <v>0</v>
      </c>
      <c r="Q229" s="66">
        <f t="shared" si="46"/>
        <v>0</v>
      </c>
      <c r="R229" s="18">
        <f t="shared" si="47"/>
        <v>0</v>
      </c>
      <c r="S229" s="156"/>
      <c r="T229" s="160">
        <f t="shared" si="48"/>
        <v>0</v>
      </c>
      <c r="U229" s="18">
        <f t="shared" si="49"/>
        <v>0</v>
      </c>
      <c r="V229" s="18">
        <f t="shared" si="50"/>
        <v>0</v>
      </c>
      <c r="W229" s="216"/>
      <c r="X229" s="18">
        <f t="shared" si="51"/>
        <v>0</v>
      </c>
      <c r="Y229" s="18">
        <f t="shared" si="52"/>
        <v>0</v>
      </c>
      <c r="Z229" s="18">
        <f t="shared" si="53"/>
        <v>0</v>
      </c>
      <c r="AA229" s="18">
        <f>K229-Z229</f>
        <v>0</v>
      </c>
      <c r="AB229" s="158">
        <v>0</v>
      </c>
      <c r="AC229" s="44" t="s">
        <v>1301</v>
      </c>
      <c r="AD229" s="865"/>
      <c r="AE229" s="69">
        <v>0</v>
      </c>
      <c r="AF229" s="69">
        <v>0</v>
      </c>
      <c r="AG229" s="69" t="s">
        <v>53</v>
      </c>
      <c r="AH229" s="69" t="s">
        <v>53</v>
      </c>
      <c r="AI229" s="69" t="s">
        <v>53</v>
      </c>
      <c r="AJ229" s="69" t="s">
        <v>54</v>
      </c>
      <c r="AK229" s="868"/>
      <c r="AL229" s="7"/>
      <c r="AM229" s="7"/>
      <c r="AN229" s="7"/>
      <c r="AO229" s="7"/>
      <c r="AP229" s="7"/>
      <c r="AQ229" s="7"/>
      <c r="AR229" s="7"/>
      <c r="AS229" s="7"/>
      <c r="AT229" s="7"/>
      <c r="AU229" s="7"/>
      <c r="AV229" s="7"/>
      <c r="AW229" s="7"/>
      <c r="AX229" s="85">
        <f t="shared" si="57"/>
        <v>0</v>
      </c>
      <c r="AY229" s="11"/>
      <c r="AZ229" s="11"/>
      <c r="BA229" s="11"/>
      <c r="BB229" s="11"/>
      <c r="BC229" s="11"/>
      <c r="BD229" s="11"/>
      <c r="BE229" s="11"/>
      <c r="BF229" s="11"/>
      <c r="BG229" s="11"/>
      <c r="BH229" s="11"/>
      <c r="BI229" s="11"/>
      <c r="BJ229" s="11"/>
      <c r="BK229" s="85">
        <f t="shared" si="54"/>
        <v>0</v>
      </c>
      <c r="BL229" s="40"/>
      <c r="BM229" s="40"/>
      <c r="BN229" s="40"/>
      <c r="BO229" s="40"/>
      <c r="BP229" s="40"/>
      <c r="BQ229" s="40"/>
      <c r="BR229" s="40"/>
      <c r="BS229" s="40"/>
      <c r="BT229" s="40"/>
      <c r="BU229" s="40"/>
      <c r="BV229" s="40"/>
      <c r="BW229" s="54"/>
      <c r="BX229" s="87">
        <f t="shared" si="55"/>
        <v>0</v>
      </c>
      <c r="BY229" s="228"/>
      <c r="BZ229" s="228"/>
      <c r="CA229" s="228"/>
      <c r="CB229" s="228"/>
      <c r="CC229" s="228"/>
      <c r="CD229" s="228"/>
      <c r="CE229" s="228"/>
      <c r="CF229" s="228"/>
      <c r="CG229" s="228"/>
      <c r="CH229" s="228"/>
      <c r="CI229" s="228"/>
      <c r="CJ229" s="228"/>
      <c r="CK229" s="112">
        <f t="shared" si="56"/>
        <v>0</v>
      </c>
      <c r="DC229" s="2"/>
      <c r="DD229" s="2"/>
      <c r="DE229" s="2"/>
      <c r="DF229" s="2"/>
      <c r="DG229" s="2"/>
      <c r="DH229" s="2"/>
      <c r="DI229" s="2"/>
      <c r="DJ229" s="2"/>
      <c r="DK229" s="2"/>
      <c r="DL229" s="2"/>
      <c r="DM229" s="2"/>
      <c r="DN229" s="2"/>
      <c r="DO229" s="2">
        <f t="shared" si="42"/>
        <v>0</v>
      </c>
    </row>
    <row r="230" spans="1:119" ht="25.9" customHeight="1" x14ac:dyDescent="0.25">
      <c r="A230" s="860" t="s">
        <v>57</v>
      </c>
      <c r="B230" s="859" t="s">
        <v>185</v>
      </c>
      <c r="C230" s="239" t="s">
        <v>186</v>
      </c>
      <c r="D230" s="4" t="s">
        <v>187</v>
      </c>
      <c r="E230" s="4" t="s">
        <v>49</v>
      </c>
      <c r="F230" s="866" t="s">
        <v>50</v>
      </c>
      <c r="G230" s="866" t="s">
        <v>61</v>
      </c>
      <c r="H230" s="266">
        <v>43956</v>
      </c>
      <c r="I230" s="58">
        <v>44140</v>
      </c>
      <c r="J230" s="204">
        <v>3034856.67</v>
      </c>
      <c r="K230" s="148"/>
      <c r="L230" s="18">
        <f t="shared" ref="L230:L236" si="58">AW230</f>
        <v>0</v>
      </c>
      <c r="M230" s="18">
        <f t="shared" ref="M230:M236" si="59">K230+L230</f>
        <v>0</v>
      </c>
      <c r="N230" s="149">
        <f>J230-M230</f>
        <v>3034856.67</v>
      </c>
      <c r="O230" s="154">
        <f t="shared" ref="O230:O236" si="60">M230</f>
        <v>0</v>
      </c>
      <c r="P230" s="66">
        <f t="shared" ref="P230:P236" si="61">BJ230</f>
        <v>1582243.253</v>
      </c>
      <c r="Q230" s="18">
        <f t="shared" ref="Q230:Q236" si="62">O230+P230</f>
        <v>1582243.253</v>
      </c>
      <c r="R230" s="156">
        <f>J230-Q230</f>
        <v>1452613.4169999999</v>
      </c>
      <c r="S230" s="160">
        <f t="shared" ref="S230:S236" si="63">Q230</f>
        <v>1582243.253</v>
      </c>
      <c r="T230" s="18">
        <f t="shared" ref="T230:T236" si="64">BW230</f>
        <v>0</v>
      </c>
      <c r="U230" s="18">
        <f t="shared" ref="U230:U236" si="65">S230+T230</f>
        <v>1582243.253</v>
      </c>
      <c r="V230" s="216">
        <f>J230-U230</f>
        <v>1452613.4169999999</v>
      </c>
      <c r="W230" s="18">
        <f t="shared" ref="W230:W236" si="66">U230</f>
        <v>1582243.253</v>
      </c>
      <c r="X230" s="18">
        <f t="shared" ref="X230:X236" si="67">CJ230</f>
        <v>0</v>
      </c>
      <c r="Y230" s="18">
        <f t="shared" ref="Y230:Y236" si="68">W230+X230</f>
        <v>1582243.253</v>
      </c>
      <c r="Z230" s="18">
        <f t="shared" ref="Z230:Z235" si="69">J230-Y230</f>
        <v>1452613.4169999999</v>
      </c>
      <c r="AA230" s="158">
        <v>0</v>
      </c>
      <c r="AB230" s="44">
        <v>6</v>
      </c>
      <c r="AC230" s="863" t="s">
        <v>517</v>
      </c>
      <c r="AD230" s="69">
        <v>0</v>
      </c>
      <c r="AE230" s="69">
        <v>0</v>
      </c>
      <c r="AF230" s="69" t="s">
        <v>53</v>
      </c>
      <c r="AG230" s="69" t="s">
        <v>53</v>
      </c>
      <c r="AH230" s="69" t="s">
        <v>53</v>
      </c>
      <c r="AI230" s="69" t="s">
        <v>54</v>
      </c>
      <c r="AJ230" s="866" t="s">
        <v>188</v>
      </c>
      <c r="AK230" s="7"/>
      <c r="AL230" s="7"/>
      <c r="AM230" s="7"/>
      <c r="AN230" s="7"/>
      <c r="AO230" s="7"/>
      <c r="AP230" s="7"/>
      <c r="AQ230" s="7"/>
      <c r="AR230" s="7"/>
      <c r="AS230" s="7"/>
      <c r="AT230" s="7"/>
      <c r="AU230" s="7"/>
      <c r="AV230" s="7"/>
      <c r="AW230" s="85">
        <f t="shared" ref="AW230:AW236" si="70">SUM(AK230:AV230)</f>
        <v>0</v>
      </c>
      <c r="AX230" s="9"/>
      <c r="AY230" s="9">
        <v>331813.99649999995</v>
      </c>
      <c r="AZ230" s="9">
        <v>134599.427</v>
      </c>
      <c r="BA230" s="9">
        <v>79281</v>
      </c>
      <c r="BB230" s="9">
        <v>174403.16949999999</v>
      </c>
      <c r="BC230" s="9">
        <v>862145.66</v>
      </c>
      <c r="BD230" s="9"/>
      <c r="BE230" s="9"/>
      <c r="BF230" s="9"/>
      <c r="BG230" s="9"/>
      <c r="BH230" s="9"/>
      <c r="BI230" s="9"/>
      <c r="BJ230" s="85">
        <f t="shared" ref="BJ230:BJ236" si="71">SUM(AX230:BI230)</f>
        <v>1582243.253</v>
      </c>
      <c r="BK230" s="39"/>
      <c r="BL230" s="39"/>
      <c r="BM230" s="39"/>
      <c r="BN230" s="39"/>
      <c r="BO230" s="39"/>
      <c r="BP230" s="39"/>
      <c r="BQ230" s="39"/>
      <c r="BR230" s="39"/>
      <c r="BS230" s="39"/>
      <c r="BT230" s="39"/>
      <c r="BU230" s="39"/>
      <c r="BV230" s="52"/>
      <c r="BW230" s="87">
        <f t="shared" ref="BW230:BW236" si="72">SUM(BK230:BV230)</f>
        <v>0</v>
      </c>
      <c r="BX230" s="112"/>
      <c r="BY230" s="112"/>
      <c r="BZ230" s="112"/>
      <c r="CA230" s="112"/>
      <c r="CB230" s="112"/>
      <c r="CC230" s="112"/>
      <c r="CD230" s="112"/>
      <c r="CE230" s="112"/>
      <c r="CF230" s="112"/>
      <c r="CG230" s="112"/>
      <c r="CH230" s="112"/>
      <c r="CI230" s="112"/>
      <c r="CJ230" s="112">
        <f t="shared" ref="CJ230:CJ236" si="73">SUM(BX230:CI230)</f>
        <v>0</v>
      </c>
      <c r="DC230" s="518"/>
      <c r="DD230" s="518"/>
      <c r="DE230" s="518"/>
      <c r="DF230" s="518"/>
      <c r="DG230" s="518"/>
      <c r="DH230" s="518"/>
      <c r="DI230" s="518"/>
      <c r="DJ230" s="518"/>
      <c r="DK230" s="518"/>
      <c r="DL230" s="518"/>
      <c r="DM230" s="518"/>
      <c r="DN230" s="518"/>
      <c r="DO230" s="518">
        <f t="shared" si="42"/>
        <v>0</v>
      </c>
    </row>
    <row r="231" spans="1:119" ht="25.9" customHeight="1" x14ac:dyDescent="0.25">
      <c r="A231" s="860"/>
      <c r="B231" s="859"/>
      <c r="C231" s="4" t="s">
        <v>1303</v>
      </c>
      <c r="D231" s="4" t="s">
        <v>124</v>
      </c>
      <c r="E231" s="4" t="s">
        <v>49</v>
      </c>
      <c r="F231" s="867"/>
      <c r="G231" s="867"/>
      <c r="H231" s="5" t="s">
        <v>1301</v>
      </c>
      <c r="I231" s="5" t="s">
        <v>1301</v>
      </c>
      <c r="J231" s="196">
        <v>0</v>
      </c>
      <c r="K231" s="148"/>
      <c r="L231" s="18">
        <f t="shared" si="58"/>
        <v>0</v>
      </c>
      <c r="M231" s="18">
        <f t="shared" si="59"/>
        <v>0</v>
      </c>
      <c r="N231" s="149"/>
      <c r="O231" s="154">
        <f t="shared" si="60"/>
        <v>0</v>
      </c>
      <c r="P231" s="66">
        <f t="shared" si="61"/>
        <v>0</v>
      </c>
      <c r="Q231" s="18">
        <f t="shared" si="62"/>
        <v>0</v>
      </c>
      <c r="R231" s="156"/>
      <c r="S231" s="160">
        <f t="shared" si="63"/>
        <v>0</v>
      </c>
      <c r="T231" s="18">
        <f t="shared" si="64"/>
        <v>0</v>
      </c>
      <c r="U231" s="18">
        <f t="shared" si="65"/>
        <v>0</v>
      </c>
      <c r="V231" s="216"/>
      <c r="W231" s="18">
        <f t="shared" si="66"/>
        <v>0</v>
      </c>
      <c r="X231" s="18">
        <f t="shared" si="67"/>
        <v>0</v>
      </c>
      <c r="Y231" s="18">
        <f t="shared" si="68"/>
        <v>0</v>
      </c>
      <c r="Z231" s="18">
        <f t="shared" si="69"/>
        <v>0</v>
      </c>
      <c r="AA231" s="158">
        <v>0</v>
      </c>
      <c r="AB231" s="44" t="s">
        <v>1301</v>
      </c>
      <c r="AC231" s="864"/>
      <c r="AD231" s="69">
        <v>0</v>
      </c>
      <c r="AE231" s="69">
        <v>0</v>
      </c>
      <c r="AF231" s="69" t="s">
        <v>53</v>
      </c>
      <c r="AG231" s="69" t="s">
        <v>53</v>
      </c>
      <c r="AH231" s="69" t="s">
        <v>53</v>
      </c>
      <c r="AI231" s="69" t="s">
        <v>54</v>
      </c>
      <c r="AJ231" s="867"/>
      <c r="AK231" s="7"/>
      <c r="AL231" s="7"/>
      <c r="AM231" s="7"/>
      <c r="AN231" s="7"/>
      <c r="AO231" s="7"/>
      <c r="AP231" s="7"/>
      <c r="AQ231" s="7"/>
      <c r="AR231" s="7"/>
      <c r="AS231" s="7"/>
      <c r="AT231" s="7"/>
      <c r="AU231" s="7"/>
      <c r="AV231" s="7"/>
      <c r="AW231" s="85">
        <f t="shared" si="70"/>
        <v>0</v>
      </c>
      <c r="AX231" s="9"/>
      <c r="AY231" s="9"/>
      <c r="AZ231" s="9"/>
      <c r="BA231" s="9"/>
      <c r="BB231" s="9"/>
      <c r="BC231" s="9"/>
      <c r="BD231" s="9"/>
      <c r="BE231" s="9"/>
      <c r="BF231" s="9"/>
      <c r="BG231" s="9"/>
      <c r="BH231" s="9"/>
      <c r="BI231" s="9"/>
      <c r="BJ231" s="85">
        <f t="shared" si="71"/>
        <v>0</v>
      </c>
      <c r="BK231" s="39"/>
      <c r="BL231" s="39"/>
      <c r="BM231" s="39"/>
      <c r="BN231" s="39"/>
      <c r="BO231" s="39"/>
      <c r="BP231" s="39"/>
      <c r="BQ231" s="39"/>
      <c r="BR231" s="39"/>
      <c r="BS231" s="39"/>
      <c r="BT231" s="39"/>
      <c r="BU231" s="39"/>
      <c r="BV231" s="52"/>
      <c r="BW231" s="87">
        <f t="shared" si="72"/>
        <v>0</v>
      </c>
      <c r="BX231" s="112"/>
      <c r="BY231" s="112"/>
      <c r="BZ231" s="112"/>
      <c r="CA231" s="112"/>
      <c r="CB231" s="112"/>
      <c r="CC231" s="112"/>
      <c r="CD231" s="112"/>
      <c r="CE231" s="112"/>
      <c r="CF231" s="112"/>
      <c r="CG231" s="112"/>
      <c r="CH231" s="112"/>
      <c r="CI231" s="112"/>
      <c r="CJ231" s="112">
        <f t="shared" si="73"/>
        <v>0</v>
      </c>
      <c r="DC231" s="518"/>
      <c r="DD231" s="518"/>
      <c r="DE231" s="518"/>
      <c r="DF231" s="518"/>
      <c r="DG231" s="518"/>
      <c r="DH231" s="518"/>
      <c r="DI231" s="518"/>
      <c r="DJ231" s="518"/>
      <c r="DK231" s="518"/>
      <c r="DL231" s="518"/>
      <c r="DM231" s="518"/>
      <c r="DN231" s="518"/>
      <c r="DO231" s="518">
        <f t="shared" si="42"/>
        <v>0</v>
      </c>
    </row>
    <row r="232" spans="1:119" ht="25.9" customHeight="1" x14ac:dyDescent="0.25">
      <c r="A232" s="860"/>
      <c r="B232" s="859"/>
      <c r="C232" s="239" t="s">
        <v>121</v>
      </c>
      <c r="D232" s="4" t="s">
        <v>122</v>
      </c>
      <c r="E232" s="4" t="s">
        <v>49</v>
      </c>
      <c r="F232" s="867"/>
      <c r="G232" s="867"/>
      <c r="H232" s="270">
        <v>44228</v>
      </c>
      <c r="I232" s="140">
        <v>44321</v>
      </c>
      <c r="J232" s="204">
        <v>963966.2</v>
      </c>
      <c r="K232" s="148"/>
      <c r="L232" s="18">
        <f t="shared" si="58"/>
        <v>0</v>
      </c>
      <c r="M232" s="18">
        <f t="shared" si="59"/>
        <v>0</v>
      </c>
      <c r="N232" s="149">
        <f>J232-M232</f>
        <v>963966.2</v>
      </c>
      <c r="O232" s="154">
        <f t="shared" si="60"/>
        <v>0</v>
      </c>
      <c r="P232" s="66">
        <f t="shared" si="61"/>
        <v>689296.08150000009</v>
      </c>
      <c r="Q232" s="18">
        <f t="shared" si="62"/>
        <v>689296.08150000009</v>
      </c>
      <c r="R232" s="156">
        <f>J232-Q232</f>
        <v>274670.11849999987</v>
      </c>
      <c r="S232" s="160">
        <f t="shared" si="63"/>
        <v>689296.08150000009</v>
      </c>
      <c r="T232" s="18">
        <f t="shared" si="64"/>
        <v>0</v>
      </c>
      <c r="U232" s="18">
        <f t="shared" si="65"/>
        <v>689296.08150000009</v>
      </c>
      <c r="V232" s="216">
        <f>J232-U232</f>
        <v>274670.11849999987</v>
      </c>
      <c r="W232" s="18">
        <f t="shared" si="66"/>
        <v>689296.08150000009</v>
      </c>
      <c r="X232" s="18">
        <f t="shared" si="67"/>
        <v>0</v>
      </c>
      <c r="Y232" s="18">
        <f t="shared" si="68"/>
        <v>689296.08150000009</v>
      </c>
      <c r="Z232" s="18">
        <f t="shared" si="69"/>
        <v>274670.11849999987</v>
      </c>
      <c r="AA232" s="158">
        <v>0</v>
      </c>
      <c r="AB232" s="44">
        <v>6</v>
      </c>
      <c r="AC232" s="864"/>
      <c r="AD232" s="69">
        <v>0</v>
      </c>
      <c r="AE232" s="69">
        <v>0</v>
      </c>
      <c r="AF232" s="69" t="s">
        <v>53</v>
      </c>
      <c r="AG232" s="69" t="s">
        <v>53</v>
      </c>
      <c r="AH232" s="69" t="s">
        <v>53</v>
      </c>
      <c r="AI232" s="69" t="s">
        <v>54</v>
      </c>
      <c r="AJ232" s="867"/>
      <c r="AK232" s="7"/>
      <c r="AL232" s="7"/>
      <c r="AM232" s="7"/>
      <c r="AN232" s="7"/>
      <c r="AO232" s="7"/>
      <c r="AP232" s="7"/>
      <c r="AQ232" s="7"/>
      <c r="AR232" s="7"/>
      <c r="AS232" s="7"/>
      <c r="AT232" s="7"/>
      <c r="AU232" s="7"/>
      <c r="AV232" s="7"/>
      <c r="AW232" s="85">
        <f t="shared" si="70"/>
        <v>0</v>
      </c>
      <c r="AX232" s="9"/>
      <c r="AY232" s="9"/>
      <c r="AZ232" s="9"/>
      <c r="BA232" s="9"/>
      <c r="BB232" s="9"/>
      <c r="BC232" s="9"/>
      <c r="BD232" s="9"/>
      <c r="BE232" s="9"/>
      <c r="BF232" s="9">
        <v>349492</v>
      </c>
      <c r="BG232" s="9">
        <v>249149.84600000002</v>
      </c>
      <c r="BH232" s="9">
        <v>90654.23550000001</v>
      </c>
      <c r="BI232" s="9"/>
      <c r="BJ232" s="85">
        <f t="shared" si="71"/>
        <v>689296.08150000009</v>
      </c>
      <c r="BK232" s="39"/>
      <c r="BL232" s="39"/>
      <c r="BM232" s="39"/>
      <c r="BN232" s="39"/>
      <c r="BO232" s="39"/>
      <c r="BP232" s="39"/>
      <c r="BQ232" s="39"/>
      <c r="BR232" s="39"/>
      <c r="BS232" s="39"/>
      <c r="BT232" s="39"/>
      <c r="BU232" s="39"/>
      <c r="BV232" s="52"/>
      <c r="BW232" s="87">
        <f t="shared" si="72"/>
        <v>0</v>
      </c>
      <c r="BX232" s="112"/>
      <c r="BY232" s="112"/>
      <c r="BZ232" s="112"/>
      <c r="CA232" s="112"/>
      <c r="CB232" s="112"/>
      <c r="CC232" s="112"/>
      <c r="CD232" s="112"/>
      <c r="CE232" s="112"/>
      <c r="CF232" s="112"/>
      <c r="CG232" s="112"/>
      <c r="CH232" s="112"/>
      <c r="CI232" s="112"/>
      <c r="CJ232" s="112">
        <f t="shared" si="73"/>
        <v>0</v>
      </c>
      <c r="DC232" s="518"/>
      <c r="DD232" s="518"/>
      <c r="DE232" s="518"/>
      <c r="DF232" s="518"/>
      <c r="DG232" s="518"/>
      <c r="DH232" s="518"/>
      <c r="DI232" s="518"/>
      <c r="DJ232" s="518"/>
      <c r="DK232" s="518"/>
      <c r="DL232" s="518"/>
      <c r="DM232" s="518"/>
      <c r="DN232" s="518"/>
      <c r="DO232" s="518">
        <f t="shared" si="42"/>
        <v>0</v>
      </c>
    </row>
    <row r="233" spans="1:119" ht="25.9" customHeight="1" x14ac:dyDescent="0.25">
      <c r="A233" s="860"/>
      <c r="B233" s="859"/>
      <c r="C233" s="4" t="s">
        <v>189</v>
      </c>
      <c r="D233" s="4" t="s">
        <v>190</v>
      </c>
      <c r="E233" s="4" t="s">
        <v>49</v>
      </c>
      <c r="F233" s="867"/>
      <c r="G233" s="867"/>
      <c r="H233" s="5">
        <v>44165</v>
      </c>
      <c r="I233" s="58" t="s">
        <v>1301</v>
      </c>
      <c r="J233" s="197">
        <v>687798.43</v>
      </c>
      <c r="K233" s="148"/>
      <c r="L233" s="18">
        <f t="shared" si="58"/>
        <v>0</v>
      </c>
      <c r="M233" s="18">
        <f t="shared" si="59"/>
        <v>0</v>
      </c>
      <c r="N233" s="149">
        <f>J233-M233</f>
        <v>687798.43</v>
      </c>
      <c r="O233" s="154">
        <f t="shared" si="60"/>
        <v>0</v>
      </c>
      <c r="P233" s="66">
        <f t="shared" si="61"/>
        <v>289622.06400000001</v>
      </c>
      <c r="Q233" s="18">
        <f t="shared" si="62"/>
        <v>289622.06400000001</v>
      </c>
      <c r="R233" s="156">
        <f>J233-Q233</f>
        <v>398176.36600000004</v>
      </c>
      <c r="S233" s="160">
        <f t="shared" si="63"/>
        <v>289622.06400000001</v>
      </c>
      <c r="T233" s="18">
        <f t="shared" si="64"/>
        <v>85000</v>
      </c>
      <c r="U233" s="18">
        <f t="shared" si="65"/>
        <v>374622.06400000001</v>
      </c>
      <c r="V233" s="216">
        <f>J233-U233</f>
        <v>313176.36600000004</v>
      </c>
      <c r="W233" s="18">
        <f t="shared" si="66"/>
        <v>374622.06400000001</v>
      </c>
      <c r="X233" s="18">
        <f t="shared" si="67"/>
        <v>0</v>
      </c>
      <c r="Y233" s="18">
        <f t="shared" si="68"/>
        <v>374622.06400000001</v>
      </c>
      <c r="Z233" s="18">
        <f t="shared" si="69"/>
        <v>313176.36600000004</v>
      </c>
      <c r="AA233" s="158">
        <v>0</v>
      </c>
      <c r="AB233" s="44" t="s">
        <v>1301</v>
      </c>
      <c r="AC233" s="864"/>
      <c r="AD233" s="69">
        <v>0</v>
      </c>
      <c r="AE233" s="69">
        <v>0</v>
      </c>
      <c r="AF233" s="69" t="s">
        <v>53</v>
      </c>
      <c r="AG233" s="69" t="s">
        <v>53</v>
      </c>
      <c r="AH233" s="69" t="s">
        <v>53</v>
      </c>
      <c r="AI233" s="69" t="s">
        <v>54</v>
      </c>
      <c r="AJ233" s="867"/>
      <c r="AK233" s="7"/>
      <c r="AL233" s="7"/>
      <c r="AM233" s="7"/>
      <c r="AN233" s="7"/>
      <c r="AO233" s="7"/>
      <c r="AP233" s="7"/>
      <c r="AQ233" s="7"/>
      <c r="AR233" s="7"/>
      <c r="AS233" s="7"/>
      <c r="AT233" s="7"/>
      <c r="AU233" s="7"/>
      <c r="AV233" s="7"/>
      <c r="AW233" s="85">
        <f t="shared" si="70"/>
        <v>0</v>
      </c>
      <c r="AX233" s="9"/>
      <c r="AY233" s="9"/>
      <c r="AZ233" s="9"/>
      <c r="BA233" s="9"/>
      <c r="BB233" s="288">
        <f>12016.304+10448.96</f>
        <v>22465.263999999999</v>
      </c>
      <c r="BC233" s="9">
        <v>39290</v>
      </c>
      <c r="BD233" s="9"/>
      <c r="BE233" s="9"/>
      <c r="BF233" s="9">
        <v>20206.8</v>
      </c>
      <c r="BG233" s="9">
        <v>130000</v>
      </c>
      <c r="BH233" s="9">
        <v>77660</v>
      </c>
      <c r="BI233" s="9"/>
      <c r="BJ233" s="85">
        <f t="shared" si="71"/>
        <v>289622.06400000001</v>
      </c>
      <c r="BK233" s="39"/>
      <c r="BL233" s="39"/>
      <c r="BM233" s="39"/>
      <c r="BN233" s="39"/>
      <c r="BO233" s="39"/>
      <c r="BP233" s="39"/>
      <c r="BQ233" s="39">
        <v>85000</v>
      </c>
      <c r="BR233" s="39"/>
      <c r="BS233" s="39"/>
      <c r="BT233" s="39"/>
      <c r="BU233" s="39"/>
      <c r="BV233" s="52"/>
      <c r="BW233" s="87">
        <f t="shared" si="72"/>
        <v>85000</v>
      </c>
      <c r="BX233" s="112"/>
      <c r="BY233" s="112"/>
      <c r="BZ233" s="112"/>
      <c r="CA233" s="112"/>
      <c r="CB233" s="112"/>
      <c r="CC233" s="112"/>
      <c r="CD233" s="112"/>
      <c r="CE233" s="112"/>
      <c r="CF233" s="112"/>
      <c r="CG233" s="112"/>
      <c r="CH233" s="112"/>
      <c r="CI233" s="112"/>
      <c r="CJ233" s="112">
        <f t="shared" si="73"/>
        <v>0</v>
      </c>
      <c r="DC233" s="518"/>
      <c r="DD233" s="518"/>
      <c r="DE233" s="518"/>
      <c r="DF233" s="518"/>
      <c r="DG233" s="518"/>
      <c r="DH233" s="518"/>
      <c r="DI233" s="518"/>
      <c r="DJ233" s="518"/>
      <c r="DK233" s="518"/>
      <c r="DL233" s="518"/>
      <c r="DM233" s="518"/>
      <c r="DN233" s="518"/>
      <c r="DO233" s="518">
        <f t="shared" si="42"/>
        <v>0</v>
      </c>
    </row>
    <row r="234" spans="1:119" ht="25.9" customHeight="1" x14ac:dyDescent="0.25">
      <c r="A234" s="860"/>
      <c r="B234" s="859"/>
      <c r="C234" s="4" t="s">
        <v>191</v>
      </c>
      <c r="D234" s="4" t="s">
        <v>127</v>
      </c>
      <c r="E234" s="4" t="s">
        <v>49</v>
      </c>
      <c r="F234" s="867"/>
      <c r="G234" s="867"/>
      <c r="H234" s="5" t="s">
        <v>1301</v>
      </c>
      <c r="I234" s="5" t="s">
        <v>1301</v>
      </c>
      <c r="J234" s="196">
        <v>0</v>
      </c>
      <c r="K234" s="148"/>
      <c r="L234" s="18">
        <f t="shared" si="58"/>
        <v>0</v>
      </c>
      <c r="M234" s="18">
        <f t="shared" si="59"/>
        <v>0</v>
      </c>
      <c r="N234" s="149"/>
      <c r="O234" s="154">
        <f t="shared" si="60"/>
        <v>0</v>
      </c>
      <c r="P234" s="66">
        <f t="shared" si="61"/>
        <v>0</v>
      </c>
      <c r="Q234" s="18">
        <f t="shared" si="62"/>
        <v>0</v>
      </c>
      <c r="R234" s="156"/>
      <c r="S234" s="160">
        <f t="shared" si="63"/>
        <v>0</v>
      </c>
      <c r="T234" s="18">
        <f t="shared" si="64"/>
        <v>0</v>
      </c>
      <c r="U234" s="18">
        <f t="shared" si="65"/>
        <v>0</v>
      </c>
      <c r="V234" s="216"/>
      <c r="W234" s="18">
        <f t="shared" si="66"/>
        <v>0</v>
      </c>
      <c r="X234" s="18">
        <f t="shared" si="67"/>
        <v>0</v>
      </c>
      <c r="Y234" s="18">
        <f t="shared" si="68"/>
        <v>0</v>
      </c>
      <c r="Z234" s="18">
        <f t="shared" si="69"/>
        <v>0</v>
      </c>
      <c r="AA234" s="158">
        <v>0</v>
      </c>
      <c r="AB234" s="44" t="s">
        <v>1301</v>
      </c>
      <c r="AC234" s="864"/>
      <c r="AD234" s="69">
        <v>0</v>
      </c>
      <c r="AE234" s="69">
        <v>0</v>
      </c>
      <c r="AF234" s="69" t="s">
        <v>53</v>
      </c>
      <c r="AG234" s="69" t="s">
        <v>53</v>
      </c>
      <c r="AH234" s="69" t="s">
        <v>53</v>
      </c>
      <c r="AI234" s="69" t="s">
        <v>54</v>
      </c>
      <c r="AJ234" s="867"/>
      <c r="AK234" s="7"/>
      <c r="AL234" s="7"/>
      <c r="AM234" s="7"/>
      <c r="AN234" s="7"/>
      <c r="AO234" s="7"/>
      <c r="AP234" s="7"/>
      <c r="AQ234" s="7"/>
      <c r="AR234" s="7"/>
      <c r="AS234" s="7"/>
      <c r="AT234" s="7"/>
      <c r="AU234" s="7"/>
      <c r="AV234" s="7"/>
      <c r="AW234" s="85">
        <f t="shared" si="70"/>
        <v>0</v>
      </c>
      <c r="AX234" s="9"/>
      <c r="AY234" s="9"/>
      <c r="AZ234" s="9"/>
      <c r="BA234" s="9"/>
      <c r="BB234" s="9"/>
      <c r="BC234" s="9"/>
      <c r="BD234" s="9"/>
      <c r="BE234" s="9"/>
      <c r="BF234" s="9"/>
      <c r="BG234" s="9"/>
      <c r="BH234" s="9"/>
      <c r="BI234" s="9"/>
      <c r="BJ234" s="85">
        <f t="shared" si="71"/>
        <v>0</v>
      </c>
      <c r="BK234" s="39"/>
      <c r="BL234" s="39"/>
      <c r="BM234" s="39"/>
      <c r="BN234" s="39"/>
      <c r="BO234" s="39"/>
      <c r="BP234" s="39"/>
      <c r="BQ234" s="39"/>
      <c r="BR234" s="39"/>
      <c r="BS234" s="39"/>
      <c r="BT234" s="39"/>
      <c r="BU234" s="39"/>
      <c r="BV234" s="52"/>
      <c r="BW234" s="87">
        <f t="shared" si="72"/>
        <v>0</v>
      </c>
      <c r="BX234" s="112"/>
      <c r="BY234" s="112"/>
      <c r="BZ234" s="112"/>
      <c r="CA234" s="112"/>
      <c r="CB234" s="112"/>
      <c r="CC234" s="112"/>
      <c r="CD234" s="112"/>
      <c r="CE234" s="112"/>
      <c r="CF234" s="112"/>
      <c r="CG234" s="112"/>
      <c r="CH234" s="112"/>
      <c r="CI234" s="112"/>
      <c r="CJ234" s="112">
        <f t="shared" si="73"/>
        <v>0</v>
      </c>
      <c r="DC234" s="518"/>
      <c r="DD234" s="518"/>
      <c r="DE234" s="518"/>
      <c r="DF234" s="518"/>
      <c r="DG234" s="518"/>
      <c r="DH234" s="518"/>
      <c r="DI234" s="518"/>
      <c r="DJ234" s="518"/>
      <c r="DK234" s="518"/>
      <c r="DL234" s="518"/>
      <c r="DM234" s="518"/>
      <c r="DN234" s="518"/>
      <c r="DO234" s="518">
        <f t="shared" si="42"/>
        <v>0</v>
      </c>
    </row>
    <row r="235" spans="1:119" ht="25.9" customHeight="1" x14ac:dyDescent="0.25">
      <c r="A235" s="860"/>
      <c r="B235" s="859"/>
      <c r="C235" s="4" t="s">
        <v>64</v>
      </c>
      <c r="D235" s="4" t="s">
        <v>65</v>
      </c>
      <c r="E235" s="4" t="s">
        <v>49</v>
      </c>
      <c r="F235" s="867"/>
      <c r="G235" s="867"/>
      <c r="H235" s="5" t="s">
        <v>1301</v>
      </c>
      <c r="I235" s="5" t="s">
        <v>1301</v>
      </c>
      <c r="J235" s="196">
        <v>0</v>
      </c>
      <c r="K235" s="148"/>
      <c r="L235" s="18">
        <f t="shared" si="58"/>
        <v>0</v>
      </c>
      <c r="M235" s="18">
        <f t="shared" si="59"/>
        <v>0</v>
      </c>
      <c r="N235" s="149"/>
      <c r="O235" s="154">
        <f t="shared" si="60"/>
        <v>0</v>
      </c>
      <c r="P235" s="66">
        <f t="shared" si="61"/>
        <v>197796</v>
      </c>
      <c r="Q235" s="18">
        <f t="shared" si="62"/>
        <v>197796</v>
      </c>
      <c r="R235" s="156"/>
      <c r="S235" s="160">
        <f t="shared" si="63"/>
        <v>197796</v>
      </c>
      <c r="T235" s="18">
        <f t="shared" si="64"/>
        <v>0</v>
      </c>
      <c r="U235" s="18">
        <f t="shared" si="65"/>
        <v>197796</v>
      </c>
      <c r="V235" s="216"/>
      <c r="W235" s="18">
        <f t="shared" si="66"/>
        <v>197796</v>
      </c>
      <c r="X235" s="18">
        <f t="shared" si="67"/>
        <v>0</v>
      </c>
      <c r="Y235" s="18">
        <f t="shared" si="68"/>
        <v>197796</v>
      </c>
      <c r="Z235" s="18">
        <f t="shared" si="69"/>
        <v>-197796</v>
      </c>
      <c r="AA235" s="158">
        <v>0</v>
      </c>
      <c r="AB235" s="44" t="s">
        <v>1301</v>
      </c>
      <c r="AC235" s="864"/>
      <c r="AD235" s="69">
        <v>0</v>
      </c>
      <c r="AE235" s="69">
        <v>0</v>
      </c>
      <c r="AF235" s="69" t="s">
        <v>53</v>
      </c>
      <c r="AG235" s="69" t="s">
        <v>53</v>
      </c>
      <c r="AH235" s="69" t="s">
        <v>53</v>
      </c>
      <c r="AI235" s="69" t="s">
        <v>54</v>
      </c>
      <c r="AJ235" s="867"/>
      <c r="AK235" s="7"/>
      <c r="AL235" s="7"/>
      <c r="AM235" s="7"/>
      <c r="AN235" s="7"/>
      <c r="AO235" s="7"/>
      <c r="AP235" s="7"/>
      <c r="AQ235" s="7"/>
      <c r="AR235" s="7"/>
      <c r="AS235" s="7"/>
      <c r="AT235" s="7"/>
      <c r="AU235" s="7"/>
      <c r="AV235" s="7"/>
      <c r="AW235" s="85">
        <f t="shared" si="70"/>
        <v>0</v>
      </c>
      <c r="AX235" s="9"/>
      <c r="AY235" s="9"/>
      <c r="AZ235" s="9"/>
      <c r="BA235" s="9"/>
      <c r="BB235" s="9">
        <v>74796</v>
      </c>
      <c r="BC235" s="9">
        <v>123000</v>
      </c>
      <c r="BD235" s="9"/>
      <c r="BE235" s="9"/>
      <c r="BF235" s="9"/>
      <c r="BG235" s="9"/>
      <c r="BH235" s="9"/>
      <c r="BI235" s="9"/>
      <c r="BJ235" s="85">
        <f t="shared" si="71"/>
        <v>197796</v>
      </c>
      <c r="BK235" s="39"/>
      <c r="BL235" s="39"/>
      <c r="BM235" s="39"/>
      <c r="BN235" s="39"/>
      <c r="BO235" s="39"/>
      <c r="BP235" s="39"/>
      <c r="BQ235" s="39"/>
      <c r="BR235" s="39"/>
      <c r="BS235" s="39"/>
      <c r="BT235" s="39"/>
      <c r="BU235" s="39"/>
      <c r="BV235" s="52"/>
      <c r="BW235" s="87">
        <f t="shared" si="72"/>
        <v>0</v>
      </c>
      <c r="BX235" s="112"/>
      <c r="BY235" s="112"/>
      <c r="BZ235" s="112"/>
      <c r="CA235" s="112"/>
      <c r="CB235" s="112"/>
      <c r="CC235" s="112"/>
      <c r="CD235" s="112"/>
      <c r="CE235" s="112"/>
      <c r="CF235" s="112"/>
      <c r="CG235" s="112"/>
      <c r="CH235" s="112"/>
      <c r="CI235" s="112"/>
      <c r="CJ235" s="112">
        <f t="shared" si="73"/>
        <v>0</v>
      </c>
      <c r="DC235" s="518"/>
      <c r="DD235" s="518"/>
      <c r="DE235" s="518"/>
      <c r="DF235" s="518"/>
      <c r="DG235" s="518"/>
      <c r="DH235" s="518"/>
      <c r="DI235" s="518"/>
      <c r="DJ235" s="518"/>
      <c r="DK235" s="518"/>
      <c r="DL235" s="518"/>
      <c r="DM235" s="518"/>
      <c r="DN235" s="518"/>
      <c r="DO235" s="518">
        <f t="shared" si="42"/>
        <v>0</v>
      </c>
    </row>
    <row r="236" spans="1:119" ht="25.9" customHeight="1" x14ac:dyDescent="0.25">
      <c r="A236" s="860"/>
      <c r="B236" s="859"/>
      <c r="C236" s="239" t="s">
        <v>192</v>
      </c>
      <c r="D236" s="4" t="s">
        <v>193</v>
      </c>
      <c r="E236" s="4" t="s">
        <v>49</v>
      </c>
      <c r="F236" s="868"/>
      <c r="G236" s="868"/>
      <c r="H236" s="266">
        <v>43650</v>
      </c>
      <c r="I236" s="270">
        <v>44746</v>
      </c>
      <c r="J236" s="272" t="s">
        <v>194</v>
      </c>
      <c r="K236" s="148"/>
      <c r="L236" s="18">
        <f t="shared" si="58"/>
        <v>387461.7145</v>
      </c>
      <c r="M236" s="18">
        <f t="shared" si="59"/>
        <v>387461.7145</v>
      </c>
      <c r="N236" s="149"/>
      <c r="O236" s="154">
        <f t="shared" si="60"/>
        <v>387461.7145</v>
      </c>
      <c r="P236" s="66">
        <f t="shared" si="61"/>
        <v>313441.40349999996</v>
      </c>
      <c r="Q236" s="18">
        <f t="shared" si="62"/>
        <v>700903.11800000002</v>
      </c>
      <c r="R236" s="156"/>
      <c r="S236" s="160">
        <f t="shared" si="63"/>
        <v>700903.11800000002</v>
      </c>
      <c r="T236" s="18">
        <f t="shared" si="64"/>
        <v>0</v>
      </c>
      <c r="U236" s="18">
        <f t="shared" si="65"/>
        <v>700903.11800000002</v>
      </c>
      <c r="V236" s="216"/>
      <c r="W236" s="18">
        <f t="shared" si="66"/>
        <v>700903.11800000002</v>
      </c>
      <c r="X236" s="18">
        <f t="shared" si="67"/>
        <v>0</v>
      </c>
      <c r="Y236" s="18">
        <f t="shared" si="68"/>
        <v>700903.11800000002</v>
      </c>
      <c r="Z236" s="18"/>
      <c r="AA236" s="158">
        <v>0</v>
      </c>
      <c r="AB236" s="44">
        <v>36</v>
      </c>
      <c r="AC236" s="865"/>
      <c r="AD236" s="69">
        <v>0</v>
      </c>
      <c r="AE236" s="69">
        <v>0</v>
      </c>
      <c r="AF236" s="69" t="s">
        <v>53</v>
      </c>
      <c r="AG236" s="69" t="s">
        <v>53</v>
      </c>
      <c r="AH236" s="69" t="s">
        <v>53</v>
      </c>
      <c r="AI236" s="69" t="s">
        <v>54</v>
      </c>
      <c r="AJ236" s="868"/>
      <c r="AK236" s="7"/>
      <c r="AL236" s="7"/>
      <c r="AM236" s="7"/>
      <c r="AN236" s="7"/>
      <c r="AO236" s="7"/>
      <c r="AP236" s="7"/>
      <c r="AQ236" s="7"/>
      <c r="AR236" s="7"/>
      <c r="AS236" s="7">
        <v>326266.75299999997</v>
      </c>
      <c r="AT236" s="7"/>
      <c r="AU236" s="7">
        <v>61194.961500000005</v>
      </c>
      <c r="AV236" s="7"/>
      <c r="AW236" s="85">
        <f t="shared" si="70"/>
        <v>387461.7145</v>
      </c>
      <c r="AX236" s="9">
        <v>84701.387000000002</v>
      </c>
      <c r="AY236" s="9"/>
      <c r="AZ236" s="9"/>
      <c r="BA236" s="9">
        <f>28094.3275+27319.46</f>
        <v>55413.787499999999</v>
      </c>
      <c r="BB236" s="9">
        <v>27319.4575</v>
      </c>
      <c r="BC236" s="9">
        <v>36587.261500000001</v>
      </c>
      <c r="BD236" s="9"/>
      <c r="BE236" s="9"/>
      <c r="BF236" s="9">
        <v>109419.51</v>
      </c>
      <c r="BG236" s="9"/>
      <c r="BH236" s="9"/>
      <c r="BI236" s="9"/>
      <c r="BJ236" s="85">
        <f t="shared" si="71"/>
        <v>313441.40349999996</v>
      </c>
      <c r="BK236" s="39"/>
      <c r="BL236" s="39"/>
      <c r="BM236" s="39"/>
      <c r="BN236" s="39"/>
      <c r="BO236" s="39"/>
      <c r="BP236" s="39"/>
      <c r="BQ236" s="39"/>
      <c r="BR236" s="39"/>
      <c r="BS236" s="39"/>
      <c r="BT236" s="39"/>
      <c r="BU236" s="39"/>
      <c r="BV236" s="52"/>
      <c r="BW236" s="87">
        <f t="shared" si="72"/>
        <v>0</v>
      </c>
      <c r="BX236" s="229"/>
      <c r="BY236" s="112"/>
      <c r="BZ236" s="112"/>
      <c r="CA236" s="112"/>
      <c r="CB236" s="112"/>
      <c r="CC236" s="112"/>
      <c r="CD236" s="112"/>
      <c r="CE236" s="112"/>
      <c r="CF236" s="112"/>
      <c r="CG236" s="112"/>
      <c r="CH236" s="112"/>
      <c r="CI236" s="112"/>
      <c r="CJ236" s="112">
        <f t="shared" si="73"/>
        <v>0</v>
      </c>
      <c r="DC236" s="518"/>
      <c r="DD236" s="518"/>
      <c r="DE236" s="518"/>
      <c r="DF236" s="518"/>
      <c r="DG236" s="518"/>
      <c r="DH236" s="518"/>
      <c r="DI236" s="518"/>
      <c r="DJ236" s="518"/>
      <c r="DK236" s="518"/>
      <c r="DL236" s="518"/>
      <c r="DM236" s="518"/>
      <c r="DN236" s="518"/>
      <c r="DO236" s="518">
        <f t="shared" si="42"/>
        <v>0</v>
      </c>
    </row>
    <row r="237" spans="1:119" s="10" customFormat="1" ht="27" customHeight="1" x14ac:dyDescent="0.2">
      <c r="A237" s="859" t="s">
        <v>99</v>
      </c>
      <c r="B237" s="860" t="s">
        <v>57</v>
      </c>
      <c r="C237" s="859" t="s">
        <v>222</v>
      </c>
      <c r="D237" s="239" t="s">
        <v>223</v>
      </c>
      <c r="E237" s="4" t="s">
        <v>224</v>
      </c>
      <c r="F237" s="4" t="s">
        <v>49</v>
      </c>
      <c r="G237" s="860" t="s">
        <v>50</v>
      </c>
      <c r="H237" s="860" t="s">
        <v>61</v>
      </c>
      <c r="I237" s="266">
        <v>43944</v>
      </c>
      <c r="J237" s="58">
        <v>44127</v>
      </c>
      <c r="K237" s="204">
        <v>3154910</v>
      </c>
      <c r="L237" s="183"/>
      <c r="M237" s="18">
        <f t="shared" ref="M237:M264" si="74">AX237</f>
        <v>1684752.3</v>
      </c>
      <c r="N237" s="18">
        <f t="shared" ref="N237:N264" si="75">L237+M237</f>
        <v>1684752.3</v>
      </c>
      <c r="O237" s="149">
        <f>K237-N237</f>
        <v>1470157.7</v>
      </c>
      <c r="P237" s="154">
        <f t="shared" ref="P237:P261" si="76">N237</f>
        <v>1684752.3</v>
      </c>
      <c r="Q237" s="66">
        <f t="shared" ref="Q237:Q264" si="77">BK237</f>
        <v>1152585.2050000001</v>
      </c>
      <c r="R237" s="18">
        <f t="shared" ref="R237:R264" si="78">P237+Q237</f>
        <v>2837337.5049999999</v>
      </c>
      <c r="S237" s="156">
        <f>K237-R237</f>
        <v>317572.49500000011</v>
      </c>
      <c r="T237" s="160">
        <f t="shared" ref="T237:T264" si="79">R237</f>
        <v>2837337.5049999999</v>
      </c>
      <c r="U237" s="18">
        <f t="shared" ref="U237:U264" si="80">BX237</f>
        <v>0</v>
      </c>
      <c r="V237" s="18">
        <f t="shared" ref="V237:V264" si="81">T237+U237</f>
        <v>2837337.5049999999</v>
      </c>
      <c r="W237" s="216">
        <f>K237-V237</f>
        <v>317572.49500000011</v>
      </c>
      <c r="X237" s="18">
        <f t="shared" ref="X237:X264" si="82">V237</f>
        <v>2837337.5049999999</v>
      </c>
      <c r="Y237" s="18">
        <f t="shared" ref="Y237:Y264" si="83">CK237</f>
        <v>0</v>
      </c>
      <c r="Z237" s="18">
        <f t="shared" ref="Z237:Z264" si="84">X237+Y237</f>
        <v>2837337.5049999999</v>
      </c>
      <c r="AA237" s="18">
        <f>K237-Z237</f>
        <v>317572.49500000011</v>
      </c>
      <c r="AB237" s="158">
        <v>0</v>
      </c>
      <c r="AC237" s="44">
        <v>6</v>
      </c>
      <c r="AD237" s="863" t="s">
        <v>517</v>
      </c>
      <c r="AE237" s="69">
        <v>0</v>
      </c>
      <c r="AF237" s="69">
        <v>0</v>
      </c>
      <c r="AG237" s="69" t="s">
        <v>53</v>
      </c>
      <c r="AH237" s="69" t="s">
        <v>53</v>
      </c>
      <c r="AI237" s="69" t="s">
        <v>53</v>
      </c>
      <c r="AJ237" s="69" t="s">
        <v>54</v>
      </c>
      <c r="AK237" s="866" t="s">
        <v>70</v>
      </c>
      <c r="AL237" s="7"/>
      <c r="AM237" s="7"/>
      <c r="AN237" s="7"/>
      <c r="AO237" s="7"/>
      <c r="AP237" s="7"/>
      <c r="AQ237" s="7"/>
      <c r="AR237" s="7"/>
      <c r="AS237" s="7"/>
      <c r="AT237" s="7"/>
      <c r="AU237" s="7"/>
      <c r="AV237" s="7"/>
      <c r="AW237" s="7">
        <f>740387.25+944365.05</f>
        <v>1684752.3</v>
      </c>
      <c r="AX237" s="85">
        <f t="shared" ref="AX237:AX261" si="85">SUM(AL237:AW237)</f>
        <v>1684752.3</v>
      </c>
      <c r="AY237" s="9"/>
      <c r="AZ237" s="9">
        <v>1061790.9750000001</v>
      </c>
      <c r="BA237" s="9"/>
      <c r="BB237" s="9"/>
      <c r="BC237" s="9"/>
      <c r="BD237" s="9"/>
      <c r="BE237" s="9"/>
      <c r="BF237" s="9"/>
      <c r="BG237" s="9">
        <v>90794.23</v>
      </c>
      <c r="BH237" s="9"/>
      <c r="BI237" s="9"/>
      <c r="BJ237" s="9"/>
      <c r="BK237" s="85">
        <f t="shared" ref="BK237:BK261" si="86">SUM(AY237:BJ237)</f>
        <v>1152585.2050000001</v>
      </c>
      <c r="BL237" s="39"/>
      <c r="BM237" s="39"/>
      <c r="BN237" s="39"/>
      <c r="BO237" s="39"/>
      <c r="BP237" s="39"/>
      <c r="BQ237" s="39"/>
      <c r="BR237" s="39"/>
      <c r="BS237" s="39"/>
      <c r="BT237" s="39"/>
      <c r="BU237" s="39"/>
      <c r="BV237" s="39"/>
      <c r="BW237" s="52"/>
      <c r="BX237" s="87">
        <f t="shared" ref="BX237:BX261" si="87">SUM(BL237:BW237)</f>
        <v>0</v>
      </c>
      <c r="BY237" s="112"/>
      <c r="BZ237" s="112"/>
      <c r="CA237" s="112"/>
      <c r="CB237" s="112"/>
      <c r="CC237" s="112"/>
      <c r="CD237" s="112"/>
      <c r="CE237" s="112"/>
      <c r="CF237" s="112"/>
      <c r="CG237" s="112"/>
      <c r="CH237" s="112"/>
      <c r="CI237" s="112"/>
      <c r="CJ237" s="112"/>
      <c r="CK237" s="112">
        <f t="shared" ref="CK237:CK264" si="88">SUM(BY237:CJ237)</f>
        <v>0</v>
      </c>
      <c r="DC237" s="4"/>
      <c r="DD237" s="4"/>
      <c r="DE237" s="4"/>
      <c r="DF237" s="4"/>
      <c r="DG237" s="4"/>
      <c r="DH237" s="4"/>
      <c r="DI237" s="4"/>
      <c r="DJ237" s="4"/>
      <c r="DK237" s="4"/>
      <c r="DL237" s="4"/>
      <c r="DM237" s="4"/>
      <c r="DN237" s="4"/>
      <c r="DO237" s="4">
        <f t="shared" si="42"/>
        <v>0</v>
      </c>
    </row>
    <row r="238" spans="1:119" s="10" customFormat="1" ht="27" customHeight="1" x14ac:dyDescent="0.2">
      <c r="A238" s="859"/>
      <c r="B238" s="860"/>
      <c r="C238" s="859"/>
      <c r="D238" s="4" t="s">
        <v>225</v>
      </c>
      <c r="E238" s="4" t="s">
        <v>226</v>
      </c>
      <c r="F238" s="4" t="s">
        <v>49</v>
      </c>
      <c r="G238" s="860"/>
      <c r="H238" s="860"/>
      <c r="I238" s="5">
        <v>44140</v>
      </c>
      <c r="J238" s="58" t="s">
        <v>1301</v>
      </c>
      <c r="K238" s="197">
        <v>915605</v>
      </c>
      <c r="L238" s="183"/>
      <c r="M238" s="18">
        <f t="shared" si="74"/>
        <v>0</v>
      </c>
      <c r="N238" s="18">
        <f t="shared" si="75"/>
        <v>0</v>
      </c>
      <c r="O238" s="149">
        <f>K238-N238</f>
        <v>915605</v>
      </c>
      <c r="P238" s="154">
        <f t="shared" si="76"/>
        <v>0</v>
      </c>
      <c r="Q238" s="66">
        <f t="shared" si="77"/>
        <v>909820</v>
      </c>
      <c r="R238" s="18">
        <f t="shared" si="78"/>
        <v>909820</v>
      </c>
      <c r="S238" s="156">
        <f>K238-R238</f>
        <v>5785</v>
      </c>
      <c r="T238" s="160">
        <f t="shared" si="79"/>
        <v>909820</v>
      </c>
      <c r="U238" s="18">
        <f t="shared" si="80"/>
        <v>0</v>
      </c>
      <c r="V238" s="18">
        <f t="shared" si="81"/>
        <v>909820</v>
      </c>
      <c r="W238" s="216">
        <f>K238-V238</f>
        <v>5785</v>
      </c>
      <c r="X238" s="246">
        <f t="shared" si="82"/>
        <v>909820</v>
      </c>
      <c r="Y238" s="18">
        <f t="shared" si="83"/>
        <v>0</v>
      </c>
      <c r="Z238" s="18">
        <f t="shared" si="84"/>
        <v>909820</v>
      </c>
      <c r="AA238" s="18">
        <f>K238-Z238</f>
        <v>5785</v>
      </c>
      <c r="AB238" s="158">
        <v>0</v>
      </c>
      <c r="AC238" s="58" t="s">
        <v>1301</v>
      </c>
      <c r="AD238" s="864"/>
      <c r="AE238" s="69">
        <v>0</v>
      </c>
      <c r="AF238" s="69">
        <v>0</v>
      </c>
      <c r="AG238" s="69" t="s">
        <v>53</v>
      </c>
      <c r="AH238" s="69" t="s">
        <v>53</v>
      </c>
      <c r="AI238" s="69" t="s">
        <v>53</v>
      </c>
      <c r="AJ238" s="69" t="s">
        <v>54</v>
      </c>
      <c r="AK238" s="867"/>
      <c r="AL238" s="7"/>
      <c r="AM238" s="7"/>
      <c r="AN238" s="7"/>
      <c r="AO238" s="7"/>
      <c r="AP238" s="7"/>
      <c r="AQ238" s="7"/>
      <c r="AR238" s="7"/>
      <c r="AS238" s="7"/>
      <c r="AT238" s="7"/>
      <c r="AU238" s="7"/>
      <c r="AV238" s="7"/>
      <c r="AW238" s="7"/>
      <c r="AX238" s="85">
        <f t="shared" si="85"/>
        <v>0</v>
      </c>
      <c r="AY238" s="9"/>
      <c r="AZ238" s="9"/>
      <c r="BA238" s="9"/>
      <c r="BB238" s="9">
        <f>345600+309820</f>
        <v>655420</v>
      </c>
      <c r="BC238" s="9"/>
      <c r="BD238" s="9"/>
      <c r="BE238" s="9"/>
      <c r="BF238" s="9">
        <v>254400</v>
      </c>
      <c r="BG238" s="9"/>
      <c r="BH238" s="9"/>
      <c r="BI238" s="9"/>
      <c r="BJ238" s="9"/>
      <c r="BK238" s="85">
        <f t="shared" si="86"/>
        <v>909820</v>
      </c>
      <c r="BL238" s="39"/>
      <c r="BM238" s="39"/>
      <c r="BN238" s="39"/>
      <c r="BO238" s="39"/>
      <c r="BP238" s="39"/>
      <c r="BQ238" s="39"/>
      <c r="BR238" s="39"/>
      <c r="BS238" s="39"/>
      <c r="BT238" s="39"/>
      <c r="BU238" s="39"/>
      <c r="BV238" s="39"/>
      <c r="BW238" s="52"/>
      <c r="BX238" s="87">
        <f t="shared" si="87"/>
        <v>0</v>
      </c>
      <c r="BY238" s="112"/>
      <c r="BZ238" s="112"/>
      <c r="CA238" s="112"/>
      <c r="CB238" s="112"/>
      <c r="CC238" s="112"/>
      <c r="CD238" s="112"/>
      <c r="CE238" s="112"/>
      <c r="CF238" s="112"/>
      <c r="CG238" s="112"/>
      <c r="CH238" s="112"/>
      <c r="CI238" s="112"/>
      <c r="CJ238" s="112"/>
      <c r="CK238" s="112">
        <f t="shared" si="88"/>
        <v>0</v>
      </c>
      <c r="DC238" s="4"/>
      <c r="DD238" s="4"/>
      <c r="DE238" s="4"/>
      <c r="DF238" s="4"/>
      <c r="DG238" s="4"/>
      <c r="DH238" s="4"/>
      <c r="DI238" s="4"/>
      <c r="DJ238" s="4"/>
      <c r="DK238" s="4"/>
      <c r="DL238" s="4"/>
      <c r="DM238" s="4"/>
      <c r="DN238" s="4"/>
      <c r="DO238" s="4">
        <f t="shared" si="42"/>
        <v>0</v>
      </c>
    </row>
    <row r="239" spans="1:119" s="10" customFormat="1" ht="27" customHeight="1" x14ac:dyDescent="0.2">
      <c r="A239" s="859"/>
      <c r="B239" s="860"/>
      <c r="C239" s="859"/>
      <c r="D239" s="4" t="s">
        <v>199</v>
      </c>
      <c r="E239" s="4" t="s">
        <v>200</v>
      </c>
      <c r="F239" s="4" t="s">
        <v>49</v>
      </c>
      <c r="G239" s="860"/>
      <c r="H239" s="860"/>
      <c r="I239" s="5">
        <v>43650</v>
      </c>
      <c r="J239" s="58">
        <v>44746</v>
      </c>
      <c r="K239" s="200" t="s">
        <v>201</v>
      </c>
      <c r="L239" s="183"/>
      <c r="M239" s="18">
        <f t="shared" si="74"/>
        <v>449712.83600000001</v>
      </c>
      <c r="N239" s="18">
        <f t="shared" si="75"/>
        <v>449712.83600000001</v>
      </c>
      <c r="O239" s="149"/>
      <c r="P239" s="154">
        <f t="shared" si="76"/>
        <v>449712.83600000001</v>
      </c>
      <c r="Q239" s="66">
        <f t="shared" si="77"/>
        <v>123109.39749999999</v>
      </c>
      <c r="R239" s="18">
        <f t="shared" si="78"/>
        <v>572822.23349999997</v>
      </c>
      <c r="S239" s="156"/>
      <c r="T239" s="160">
        <f t="shared" si="79"/>
        <v>572822.23349999997</v>
      </c>
      <c r="U239" s="18">
        <f t="shared" si="80"/>
        <v>0</v>
      </c>
      <c r="V239" s="18">
        <f t="shared" si="81"/>
        <v>572822.23349999997</v>
      </c>
      <c r="W239" s="216"/>
      <c r="X239" s="18">
        <f t="shared" si="82"/>
        <v>572822.23349999997</v>
      </c>
      <c r="Y239" s="18">
        <f t="shared" si="83"/>
        <v>0</v>
      </c>
      <c r="Z239" s="18">
        <f t="shared" si="84"/>
        <v>572822.23349999997</v>
      </c>
      <c r="AA239" s="18"/>
      <c r="AB239" s="158">
        <v>0</v>
      </c>
      <c r="AC239" s="44">
        <v>36</v>
      </c>
      <c r="AD239" s="865"/>
      <c r="AE239" s="69">
        <v>0</v>
      </c>
      <c r="AF239" s="69">
        <v>0</v>
      </c>
      <c r="AG239" s="69" t="s">
        <v>53</v>
      </c>
      <c r="AH239" s="69" t="s">
        <v>53</v>
      </c>
      <c r="AI239" s="69" t="s">
        <v>53</v>
      </c>
      <c r="AJ239" s="69" t="s">
        <v>54</v>
      </c>
      <c r="AK239" s="868"/>
      <c r="AL239" s="7"/>
      <c r="AM239" s="7"/>
      <c r="AN239" s="7"/>
      <c r="AO239" s="7"/>
      <c r="AP239" s="7"/>
      <c r="AQ239" s="7"/>
      <c r="AR239" s="7"/>
      <c r="AS239" s="7"/>
      <c r="AT239" s="7"/>
      <c r="AU239" s="7">
        <v>449712.83600000001</v>
      </c>
      <c r="AV239" s="7"/>
      <c r="AW239" s="7"/>
      <c r="AX239" s="85">
        <f t="shared" si="85"/>
        <v>449712.83600000001</v>
      </c>
      <c r="AY239" s="9">
        <v>32561.582999999999</v>
      </c>
      <c r="AZ239" s="9"/>
      <c r="BA239" s="9"/>
      <c r="BB239" s="9"/>
      <c r="BC239" s="9"/>
      <c r="BD239" s="9"/>
      <c r="BE239" s="9">
        <v>90547.814499999993</v>
      </c>
      <c r="BF239" s="9"/>
      <c r="BG239" s="9"/>
      <c r="BH239" s="9"/>
      <c r="BI239" s="9"/>
      <c r="BJ239" s="9"/>
      <c r="BK239" s="85">
        <f t="shared" si="86"/>
        <v>123109.39749999999</v>
      </c>
      <c r="BL239" s="39"/>
      <c r="BM239" s="39"/>
      <c r="BN239" s="39"/>
      <c r="BO239" s="39"/>
      <c r="BP239" s="39"/>
      <c r="BQ239" s="39"/>
      <c r="BR239" s="39"/>
      <c r="BS239" s="39"/>
      <c r="BT239" s="39"/>
      <c r="BU239" s="39"/>
      <c r="BV239" s="39"/>
      <c r="BW239" s="52"/>
      <c r="BX239" s="87">
        <f t="shared" si="87"/>
        <v>0</v>
      </c>
      <c r="BY239" s="112"/>
      <c r="BZ239" s="112"/>
      <c r="CA239" s="112"/>
      <c r="CB239" s="112"/>
      <c r="CC239" s="112"/>
      <c r="CD239" s="112"/>
      <c r="CE239" s="112"/>
      <c r="CF239" s="112"/>
      <c r="CG239" s="112"/>
      <c r="CH239" s="112"/>
      <c r="CI239" s="112"/>
      <c r="CJ239" s="112"/>
      <c r="CK239" s="112">
        <f t="shared" si="88"/>
        <v>0</v>
      </c>
      <c r="DC239" s="4"/>
      <c r="DD239" s="4"/>
      <c r="DE239" s="4"/>
      <c r="DF239" s="4"/>
      <c r="DG239" s="4"/>
      <c r="DH239" s="4"/>
      <c r="DI239" s="4"/>
      <c r="DJ239" s="4"/>
      <c r="DK239" s="4"/>
      <c r="DL239" s="4"/>
      <c r="DM239" s="4"/>
      <c r="DN239" s="4"/>
      <c r="DO239" s="4">
        <f t="shared" si="42"/>
        <v>0</v>
      </c>
    </row>
    <row r="240" spans="1:119" s="10" customFormat="1" ht="29.25" customHeight="1" x14ac:dyDescent="0.2">
      <c r="A240" s="859" t="s">
        <v>227</v>
      </c>
      <c r="B240" s="860" t="s">
        <v>57</v>
      </c>
      <c r="C240" s="859" t="s">
        <v>228</v>
      </c>
      <c r="D240" s="239" t="s">
        <v>229</v>
      </c>
      <c r="E240" s="4" t="s">
        <v>214</v>
      </c>
      <c r="F240" s="4" t="s">
        <v>49</v>
      </c>
      <c r="G240" s="860" t="s">
        <v>50</v>
      </c>
      <c r="H240" s="860" t="s">
        <v>61</v>
      </c>
      <c r="I240" s="266">
        <v>43956</v>
      </c>
      <c r="J240" s="58">
        <v>44230</v>
      </c>
      <c r="K240" s="204">
        <v>3871786.77</v>
      </c>
      <c r="L240" s="148"/>
      <c r="M240" s="18">
        <f t="shared" si="74"/>
        <v>0</v>
      </c>
      <c r="N240" s="18">
        <f t="shared" si="75"/>
        <v>0</v>
      </c>
      <c r="O240" s="149">
        <f>K240-N240</f>
        <v>3871786.77</v>
      </c>
      <c r="P240" s="154">
        <f t="shared" si="76"/>
        <v>0</v>
      </c>
      <c r="Q240" s="66">
        <f t="shared" si="77"/>
        <v>2002733.8744999999</v>
      </c>
      <c r="R240" s="18">
        <f t="shared" si="78"/>
        <v>2002733.8744999999</v>
      </c>
      <c r="S240" s="156">
        <f>K240-R240</f>
        <v>1869052.8955000001</v>
      </c>
      <c r="T240" s="160">
        <f t="shared" si="79"/>
        <v>2002733.8744999999</v>
      </c>
      <c r="U240" s="18">
        <f t="shared" si="80"/>
        <v>1086171.47</v>
      </c>
      <c r="V240" s="18">
        <f t="shared" si="81"/>
        <v>3088905.3444999997</v>
      </c>
      <c r="W240" s="216">
        <f>K240-V240</f>
        <v>782881.42550000036</v>
      </c>
      <c r="X240" s="18">
        <f t="shared" si="82"/>
        <v>3088905.3444999997</v>
      </c>
      <c r="Y240" s="18">
        <f t="shared" si="83"/>
        <v>0</v>
      </c>
      <c r="Z240" s="18">
        <f t="shared" si="84"/>
        <v>3088905.3444999997</v>
      </c>
      <c r="AA240" s="18">
        <f>K240-Z240</f>
        <v>782881.42550000036</v>
      </c>
      <c r="AB240" s="158">
        <v>0</v>
      </c>
      <c r="AC240" s="44">
        <v>6</v>
      </c>
      <c r="AD240" s="863" t="s">
        <v>517</v>
      </c>
      <c r="AE240" s="69">
        <v>0</v>
      </c>
      <c r="AF240" s="69">
        <v>0</v>
      </c>
      <c r="AG240" s="69" t="s">
        <v>53</v>
      </c>
      <c r="AH240" s="69" t="s">
        <v>53</v>
      </c>
      <c r="AI240" s="69" t="s">
        <v>53</v>
      </c>
      <c r="AJ240" s="69" t="s">
        <v>54</v>
      </c>
      <c r="AK240" s="866" t="s">
        <v>70</v>
      </c>
      <c r="AL240" s="7"/>
      <c r="AM240" s="7"/>
      <c r="AN240" s="7"/>
      <c r="AO240" s="7"/>
      <c r="AP240" s="7"/>
      <c r="AQ240" s="7"/>
      <c r="AR240" s="7"/>
      <c r="AS240" s="7"/>
      <c r="AT240" s="7"/>
      <c r="AU240" s="7"/>
      <c r="AV240" s="7"/>
      <c r="AW240" s="7"/>
      <c r="AX240" s="85">
        <f t="shared" si="85"/>
        <v>0</v>
      </c>
      <c r="AY240" s="9"/>
      <c r="AZ240" s="9"/>
      <c r="BA240" s="9"/>
      <c r="BB240" s="9"/>
      <c r="BC240" s="9">
        <v>185151.35</v>
      </c>
      <c r="BD240" s="9">
        <f>235848.348+577691.59</f>
        <v>813539.93799999997</v>
      </c>
      <c r="BE240" s="9"/>
      <c r="BF240" s="9"/>
      <c r="BG240" s="288">
        <v>474806.04300000001</v>
      </c>
      <c r="BH240" s="9">
        <v>119465.69150000002</v>
      </c>
      <c r="BI240" s="9">
        <v>409770.85199999996</v>
      </c>
      <c r="BJ240" s="9"/>
      <c r="BK240" s="85">
        <f t="shared" si="86"/>
        <v>2002733.8744999999</v>
      </c>
      <c r="BL240" s="39">
        <v>348818.14</v>
      </c>
      <c r="BM240" s="39">
        <v>348644.9</v>
      </c>
      <c r="BN240" s="39">
        <v>388708.43</v>
      </c>
      <c r="BO240" s="39"/>
      <c r="BP240" s="39"/>
      <c r="BQ240" s="39"/>
      <c r="BR240" s="39"/>
      <c r="BS240" s="39"/>
      <c r="BT240" s="39"/>
      <c r="BU240" s="39"/>
      <c r="BV240" s="39"/>
      <c r="BW240" s="52"/>
      <c r="BX240" s="87">
        <f t="shared" si="87"/>
        <v>1086171.47</v>
      </c>
      <c r="BY240" s="112"/>
      <c r="BZ240" s="112"/>
      <c r="CA240" s="112"/>
      <c r="CB240" s="112"/>
      <c r="CC240" s="112"/>
      <c r="CD240" s="112"/>
      <c r="CE240" s="112"/>
      <c r="CF240" s="112"/>
      <c r="CG240" s="112"/>
      <c r="CH240" s="112"/>
      <c r="CI240" s="112"/>
      <c r="CJ240" s="112"/>
      <c r="CK240" s="112">
        <f t="shared" si="88"/>
        <v>0</v>
      </c>
      <c r="DC240" s="4"/>
      <c r="DD240" s="4"/>
      <c r="DE240" s="4"/>
      <c r="DF240" s="4"/>
      <c r="DG240" s="4"/>
      <c r="DH240" s="4"/>
      <c r="DI240" s="4"/>
      <c r="DJ240" s="4"/>
      <c r="DK240" s="4"/>
      <c r="DL240" s="4"/>
      <c r="DM240" s="4"/>
      <c r="DN240" s="4"/>
      <c r="DO240" s="4">
        <f t="shared" si="42"/>
        <v>0</v>
      </c>
    </row>
    <row r="241" spans="1:119" s="10" customFormat="1" ht="29.25" customHeight="1" x14ac:dyDescent="0.2">
      <c r="A241" s="859"/>
      <c r="B241" s="860"/>
      <c r="C241" s="859"/>
      <c r="D241" s="4" t="s">
        <v>230</v>
      </c>
      <c r="E241" s="4" t="s">
        <v>231</v>
      </c>
      <c r="F241" s="4" t="s">
        <v>49</v>
      </c>
      <c r="G241" s="860"/>
      <c r="H241" s="860"/>
      <c r="I241" s="5">
        <v>44334</v>
      </c>
      <c r="J241" s="70" t="s">
        <v>1301</v>
      </c>
      <c r="K241" s="197">
        <v>323918</v>
      </c>
      <c r="L241" s="148"/>
      <c r="M241" s="18">
        <f t="shared" si="74"/>
        <v>0</v>
      </c>
      <c r="N241" s="18">
        <f t="shared" si="75"/>
        <v>0</v>
      </c>
      <c r="O241" s="149">
        <f>K241-N241</f>
        <v>323918</v>
      </c>
      <c r="P241" s="154">
        <f t="shared" si="76"/>
        <v>0</v>
      </c>
      <c r="Q241" s="66">
        <f t="shared" si="77"/>
        <v>96317.1</v>
      </c>
      <c r="R241" s="18">
        <f t="shared" si="78"/>
        <v>96317.1</v>
      </c>
      <c r="S241" s="156">
        <f>K241-R241</f>
        <v>227600.9</v>
      </c>
      <c r="T241" s="160">
        <f t="shared" si="79"/>
        <v>96317.1</v>
      </c>
      <c r="U241" s="18">
        <f t="shared" si="80"/>
        <v>235141.11000000002</v>
      </c>
      <c r="V241" s="18">
        <f t="shared" si="81"/>
        <v>331458.21000000002</v>
      </c>
      <c r="W241" s="216">
        <f>K241-V241</f>
        <v>-7540.210000000021</v>
      </c>
      <c r="X241" s="18">
        <f t="shared" si="82"/>
        <v>331458.21000000002</v>
      </c>
      <c r="Y241" s="18">
        <f t="shared" si="83"/>
        <v>0</v>
      </c>
      <c r="Z241" s="18">
        <f t="shared" si="84"/>
        <v>331458.21000000002</v>
      </c>
      <c r="AA241" s="18">
        <f>K241-Z241</f>
        <v>-7540.210000000021</v>
      </c>
      <c r="AB241" s="158">
        <v>0</v>
      </c>
      <c r="AC241" s="58" t="s">
        <v>1301</v>
      </c>
      <c r="AD241" s="864"/>
      <c r="AE241" s="69">
        <v>0</v>
      </c>
      <c r="AF241" s="69">
        <v>0</v>
      </c>
      <c r="AG241" s="69" t="s">
        <v>53</v>
      </c>
      <c r="AH241" s="69" t="s">
        <v>53</v>
      </c>
      <c r="AI241" s="69" t="s">
        <v>53</v>
      </c>
      <c r="AJ241" s="69" t="s">
        <v>54</v>
      </c>
      <c r="AK241" s="867"/>
      <c r="AL241" s="7"/>
      <c r="AM241" s="7"/>
      <c r="AN241" s="7"/>
      <c r="AO241" s="7"/>
      <c r="AP241" s="7"/>
      <c r="AQ241" s="7"/>
      <c r="AR241" s="7"/>
      <c r="AS241" s="7"/>
      <c r="AT241" s="7"/>
      <c r="AU241" s="7"/>
      <c r="AV241" s="7"/>
      <c r="AW241" s="7"/>
      <c r="AX241" s="85">
        <f t="shared" si="85"/>
        <v>0</v>
      </c>
      <c r="AY241" s="9"/>
      <c r="AZ241" s="9"/>
      <c r="BA241" s="9"/>
      <c r="BB241" s="9"/>
      <c r="BC241" s="9"/>
      <c r="BD241" s="9"/>
      <c r="BE241" s="9"/>
      <c r="BF241" s="9"/>
      <c r="BG241" s="9"/>
      <c r="BH241" s="9"/>
      <c r="BI241" s="9"/>
      <c r="BJ241" s="9">
        <v>96317.1</v>
      </c>
      <c r="BK241" s="85">
        <f t="shared" si="86"/>
        <v>96317.1</v>
      </c>
      <c r="BL241" s="39">
        <v>148967.72</v>
      </c>
      <c r="BM241" s="39">
        <v>57809.54</v>
      </c>
      <c r="BN241" s="39"/>
      <c r="BO241" s="39"/>
      <c r="BP241" s="39"/>
      <c r="BQ241" s="39">
        <v>28363.85</v>
      </c>
      <c r="BR241" s="39"/>
      <c r="BS241" s="39"/>
      <c r="BT241" s="39"/>
      <c r="BU241" s="39"/>
      <c r="BV241" s="39"/>
      <c r="BW241" s="52"/>
      <c r="BX241" s="87">
        <f t="shared" si="87"/>
        <v>235141.11000000002</v>
      </c>
      <c r="BY241" s="112"/>
      <c r="BZ241" s="112"/>
      <c r="CA241" s="112"/>
      <c r="CB241" s="112"/>
      <c r="CC241" s="112"/>
      <c r="CD241" s="112"/>
      <c r="CE241" s="112"/>
      <c r="CF241" s="112"/>
      <c r="CG241" s="112"/>
      <c r="CH241" s="112"/>
      <c r="CI241" s="112"/>
      <c r="CJ241" s="112"/>
      <c r="CK241" s="112">
        <f t="shared" si="88"/>
        <v>0</v>
      </c>
      <c r="DC241" s="4"/>
      <c r="DD241" s="4"/>
      <c r="DE241" s="4"/>
      <c r="DF241" s="4"/>
      <c r="DG241" s="4"/>
      <c r="DH241" s="4"/>
      <c r="DI241" s="4"/>
      <c r="DJ241" s="4"/>
      <c r="DK241" s="4"/>
      <c r="DL241" s="4"/>
      <c r="DM241" s="4"/>
      <c r="DN241" s="4"/>
      <c r="DO241" s="4">
        <f t="shared" si="42"/>
        <v>0</v>
      </c>
    </row>
    <row r="242" spans="1:119" s="10" customFormat="1" ht="29.25" customHeight="1" x14ac:dyDescent="0.2">
      <c r="A242" s="859"/>
      <c r="B242" s="860"/>
      <c r="C242" s="859"/>
      <c r="D242" s="4" t="s">
        <v>232</v>
      </c>
      <c r="E242" s="4" t="s">
        <v>233</v>
      </c>
      <c r="F242" s="4" t="s">
        <v>49</v>
      </c>
      <c r="G242" s="860"/>
      <c r="H242" s="860"/>
      <c r="I242" s="5">
        <v>43648</v>
      </c>
      <c r="J242" s="58">
        <v>44744</v>
      </c>
      <c r="K242" s="197" t="s">
        <v>164</v>
      </c>
      <c r="L242" s="148"/>
      <c r="M242" s="18">
        <f t="shared" si="74"/>
        <v>354067.46250000002</v>
      </c>
      <c r="N242" s="18">
        <f t="shared" si="75"/>
        <v>354067.46250000002</v>
      </c>
      <c r="O242" s="149"/>
      <c r="P242" s="154">
        <f t="shared" si="76"/>
        <v>354067.46250000002</v>
      </c>
      <c r="Q242" s="66">
        <f t="shared" si="77"/>
        <v>139439.61600000001</v>
      </c>
      <c r="R242" s="18">
        <f t="shared" si="78"/>
        <v>493507.07850000006</v>
      </c>
      <c r="S242" s="156"/>
      <c r="T242" s="160">
        <f t="shared" si="79"/>
        <v>493507.07850000006</v>
      </c>
      <c r="U242" s="18">
        <f t="shared" si="80"/>
        <v>40369.06</v>
      </c>
      <c r="V242" s="18">
        <f t="shared" si="81"/>
        <v>533876.13850000012</v>
      </c>
      <c r="W242" s="216"/>
      <c r="X242" s="18">
        <f t="shared" si="82"/>
        <v>533876.13850000012</v>
      </c>
      <c r="Y242" s="18">
        <f t="shared" si="83"/>
        <v>0</v>
      </c>
      <c r="Z242" s="18">
        <f t="shared" si="84"/>
        <v>533876.13850000012</v>
      </c>
      <c r="AA242" s="18"/>
      <c r="AB242" s="158">
        <v>0</v>
      </c>
      <c r="AC242" s="44">
        <v>36</v>
      </c>
      <c r="AD242" s="865"/>
      <c r="AE242" s="69">
        <v>0</v>
      </c>
      <c r="AF242" s="69">
        <v>0</v>
      </c>
      <c r="AG242" s="69" t="s">
        <v>53</v>
      </c>
      <c r="AH242" s="69" t="s">
        <v>53</v>
      </c>
      <c r="AI242" s="69" t="s">
        <v>53</v>
      </c>
      <c r="AJ242" s="69" t="s">
        <v>54</v>
      </c>
      <c r="AK242" s="868"/>
      <c r="AL242" s="7"/>
      <c r="AM242" s="7"/>
      <c r="AN242" s="7"/>
      <c r="AO242" s="7"/>
      <c r="AP242" s="7"/>
      <c r="AQ242" s="7"/>
      <c r="AR242" s="7"/>
      <c r="AS242" s="4"/>
      <c r="AT242" s="7">
        <v>354067.46250000002</v>
      </c>
      <c r="AU242" s="7"/>
      <c r="AV242" s="7"/>
      <c r="AW242" s="7"/>
      <c r="AX242" s="85">
        <f t="shared" si="85"/>
        <v>354067.46250000002</v>
      </c>
      <c r="AY242" s="9"/>
      <c r="AZ242" s="9"/>
      <c r="BA242" s="9"/>
      <c r="BB242" s="9"/>
      <c r="BC242" s="9"/>
      <c r="BD242" s="9"/>
      <c r="BE242" s="9"/>
      <c r="BF242" s="9"/>
      <c r="BG242" s="9"/>
      <c r="BH242" s="7">
        <v>83932.16350000001</v>
      </c>
      <c r="BI242" s="9"/>
      <c r="BJ242" s="9">
        <v>55507.452499999999</v>
      </c>
      <c r="BK242" s="85">
        <f t="shared" si="86"/>
        <v>139439.61600000001</v>
      </c>
      <c r="BL242" s="39"/>
      <c r="BM242" s="39"/>
      <c r="BN242" s="39"/>
      <c r="BO242" s="39">
        <v>20184.53</v>
      </c>
      <c r="BP242" s="39"/>
      <c r="BQ242" s="39"/>
      <c r="BR242" s="39"/>
      <c r="BS242" s="39"/>
      <c r="BT242" s="39"/>
      <c r="BU242" s="39"/>
      <c r="BV242" s="39"/>
      <c r="BW242" s="52">
        <v>20184.53</v>
      </c>
      <c r="BX242" s="87">
        <f t="shared" si="87"/>
        <v>40369.06</v>
      </c>
      <c r="BY242" s="112"/>
      <c r="BZ242" s="112"/>
      <c r="CA242" s="112"/>
      <c r="CB242" s="112"/>
      <c r="CC242" s="112"/>
      <c r="CD242" s="112"/>
      <c r="CE242" s="112"/>
      <c r="CF242" s="112"/>
      <c r="CG242" s="112"/>
      <c r="CH242" s="112"/>
      <c r="CI242" s="112"/>
      <c r="CJ242" s="112"/>
      <c r="CK242" s="112">
        <f t="shared" si="88"/>
        <v>0</v>
      </c>
      <c r="DC242" s="4"/>
      <c r="DD242" s="4"/>
      <c r="DE242" s="4"/>
      <c r="DF242" s="4"/>
      <c r="DG242" s="4"/>
      <c r="DH242" s="4"/>
      <c r="DI242" s="4"/>
      <c r="DJ242" s="4"/>
      <c r="DK242" s="4"/>
      <c r="DL242" s="4"/>
      <c r="DM242" s="4"/>
      <c r="DN242" s="4"/>
      <c r="DO242" s="4">
        <f t="shared" si="42"/>
        <v>0</v>
      </c>
    </row>
    <row r="243" spans="1:119" s="10" customFormat="1" ht="27.75" customHeight="1" x14ac:dyDescent="0.2">
      <c r="A243" s="859" t="s">
        <v>234</v>
      </c>
      <c r="B243" s="860" t="s">
        <v>57</v>
      </c>
      <c r="C243" s="859" t="s">
        <v>235</v>
      </c>
      <c r="D243" s="239" t="s">
        <v>236</v>
      </c>
      <c r="E243" s="4" t="s">
        <v>198</v>
      </c>
      <c r="F243" s="4" t="s">
        <v>49</v>
      </c>
      <c r="G243" s="860" t="s">
        <v>50</v>
      </c>
      <c r="H243" s="860" t="s">
        <v>61</v>
      </c>
      <c r="I243" s="266">
        <v>44120</v>
      </c>
      <c r="J243" s="58">
        <v>44302</v>
      </c>
      <c r="K243" s="204">
        <v>3220000</v>
      </c>
      <c r="L243" s="148"/>
      <c r="M243" s="18">
        <f t="shared" si="74"/>
        <v>0</v>
      </c>
      <c r="N243" s="18">
        <f t="shared" si="75"/>
        <v>0</v>
      </c>
      <c r="O243" s="149">
        <f>K243-N243</f>
        <v>3220000</v>
      </c>
      <c r="P243" s="154">
        <f t="shared" si="76"/>
        <v>0</v>
      </c>
      <c r="Q243" s="66">
        <f t="shared" si="77"/>
        <v>1476808.311</v>
      </c>
      <c r="R243" s="18">
        <f t="shared" si="78"/>
        <v>1476808.311</v>
      </c>
      <c r="S243" s="156">
        <f>K243-R243</f>
        <v>1743191.689</v>
      </c>
      <c r="T243" s="160">
        <f t="shared" si="79"/>
        <v>1476808.311</v>
      </c>
      <c r="U243" s="18">
        <f t="shared" si="80"/>
        <v>865096.7</v>
      </c>
      <c r="V243" s="18">
        <f t="shared" si="81"/>
        <v>2341905.0109999999</v>
      </c>
      <c r="W243" s="216">
        <f>K243-V243</f>
        <v>878094.98900000006</v>
      </c>
      <c r="X243" s="18">
        <f t="shared" si="82"/>
        <v>2341905.0109999999</v>
      </c>
      <c r="Y243" s="18">
        <f t="shared" si="83"/>
        <v>0</v>
      </c>
      <c r="Z243" s="18">
        <f t="shared" si="84"/>
        <v>2341905.0109999999</v>
      </c>
      <c r="AA243" s="18">
        <f>K243-Z243</f>
        <v>878094.98900000006</v>
      </c>
      <c r="AB243" s="158">
        <v>0</v>
      </c>
      <c r="AC243" s="44">
        <v>6</v>
      </c>
      <c r="AD243" s="863" t="s">
        <v>517</v>
      </c>
      <c r="AE243" s="69">
        <v>0</v>
      </c>
      <c r="AF243" s="69">
        <v>0</v>
      </c>
      <c r="AG243" s="69" t="s">
        <v>53</v>
      </c>
      <c r="AH243" s="69" t="s">
        <v>53</v>
      </c>
      <c r="AI243" s="69" t="s">
        <v>53</v>
      </c>
      <c r="AJ243" s="69" t="s">
        <v>54</v>
      </c>
      <c r="AK243" s="866" t="s">
        <v>70</v>
      </c>
      <c r="AL243" s="7"/>
      <c r="AM243" s="7"/>
      <c r="AN243" s="7"/>
      <c r="AO243" s="7"/>
      <c r="AP243" s="7"/>
      <c r="AQ243" s="7"/>
      <c r="AR243" s="7"/>
      <c r="AS243" s="7"/>
      <c r="AT243" s="7"/>
      <c r="AU243" s="7"/>
      <c r="AV243" s="7"/>
      <c r="AW243" s="7"/>
      <c r="AX243" s="85">
        <f t="shared" si="85"/>
        <v>0</v>
      </c>
      <c r="AY243" s="9"/>
      <c r="AZ243" s="9"/>
      <c r="BA243" s="9"/>
      <c r="BB243" s="9"/>
      <c r="BC243" s="9"/>
      <c r="BD243" s="9"/>
      <c r="BE243" s="9"/>
      <c r="BF243" s="9"/>
      <c r="BG243" s="9">
        <v>423322.88899999997</v>
      </c>
      <c r="BH243" s="9">
        <v>142830</v>
      </c>
      <c r="BI243" s="9">
        <v>349237.52</v>
      </c>
      <c r="BJ243" s="9">
        <v>561417.902</v>
      </c>
      <c r="BK243" s="85">
        <f t="shared" si="86"/>
        <v>1476808.311</v>
      </c>
      <c r="BL243" s="39">
        <v>113629.2</v>
      </c>
      <c r="BM243" s="39"/>
      <c r="BN243" s="39"/>
      <c r="BO243" s="39"/>
      <c r="BP243" s="39"/>
      <c r="BQ243" s="39"/>
      <c r="BR243" s="39"/>
      <c r="BS243" s="39">
        <v>751467.5</v>
      </c>
      <c r="BT243" s="39"/>
      <c r="BU243" s="39"/>
      <c r="BV243" s="39"/>
      <c r="BW243" s="52"/>
      <c r="BX243" s="87">
        <f t="shared" si="87"/>
        <v>865096.7</v>
      </c>
      <c r="BY243" s="112"/>
      <c r="BZ243" s="112"/>
      <c r="CA243" s="112"/>
      <c r="CB243" s="112"/>
      <c r="CC243" s="112"/>
      <c r="CD243" s="112"/>
      <c r="CE243" s="112"/>
      <c r="CF243" s="112"/>
      <c r="CG243" s="112"/>
      <c r="CH243" s="112"/>
      <c r="CI243" s="112"/>
      <c r="CJ243" s="112"/>
      <c r="CK243" s="112">
        <f t="shared" si="88"/>
        <v>0</v>
      </c>
      <c r="DC243" s="4"/>
      <c r="DD243" s="4"/>
      <c r="DE243" s="4"/>
      <c r="DF243" s="4"/>
      <c r="DG243" s="4"/>
      <c r="DH243" s="4"/>
      <c r="DI243" s="4"/>
      <c r="DJ243" s="4"/>
      <c r="DK243" s="4"/>
      <c r="DL243" s="4"/>
      <c r="DM243" s="4"/>
      <c r="DN243" s="4"/>
      <c r="DO243" s="4">
        <f t="shared" si="42"/>
        <v>0</v>
      </c>
    </row>
    <row r="244" spans="1:119" s="10" customFormat="1" ht="27.75" customHeight="1" x14ac:dyDescent="0.2">
      <c r="A244" s="859"/>
      <c r="B244" s="860"/>
      <c r="C244" s="859"/>
      <c r="D244" s="4" t="s">
        <v>237</v>
      </c>
      <c r="E244" s="4" t="s">
        <v>238</v>
      </c>
      <c r="F244" s="4" t="s">
        <v>49</v>
      </c>
      <c r="G244" s="860"/>
      <c r="H244" s="860"/>
      <c r="I244" s="5">
        <v>44252</v>
      </c>
      <c r="J244" s="58" t="s">
        <v>1301</v>
      </c>
      <c r="K244" s="197">
        <v>981605</v>
      </c>
      <c r="L244" s="148"/>
      <c r="M244" s="18">
        <f t="shared" si="74"/>
        <v>0</v>
      </c>
      <c r="N244" s="18">
        <f t="shared" si="75"/>
        <v>0</v>
      </c>
      <c r="O244" s="149">
        <f>K244-N244</f>
        <v>981605</v>
      </c>
      <c r="P244" s="154">
        <f t="shared" si="76"/>
        <v>0</v>
      </c>
      <c r="Q244" s="66">
        <f t="shared" si="77"/>
        <v>0</v>
      </c>
      <c r="R244" s="18">
        <f t="shared" si="78"/>
        <v>0</v>
      </c>
      <c r="S244" s="156">
        <f>K244-R244</f>
        <v>981605</v>
      </c>
      <c r="T244" s="160">
        <f t="shared" si="79"/>
        <v>0</v>
      </c>
      <c r="U244" s="18">
        <f t="shared" si="80"/>
        <v>708735</v>
      </c>
      <c r="V244" s="18">
        <f t="shared" si="81"/>
        <v>708735</v>
      </c>
      <c r="W244" s="216">
        <f>K244-V244</f>
        <v>272870</v>
      </c>
      <c r="X244" s="18">
        <f t="shared" si="82"/>
        <v>708735</v>
      </c>
      <c r="Y244" s="18">
        <f t="shared" si="83"/>
        <v>0</v>
      </c>
      <c r="Z244" s="18">
        <f t="shared" si="84"/>
        <v>708735</v>
      </c>
      <c r="AA244" s="18">
        <f>K244-Z244</f>
        <v>272870</v>
      </c>
      <c r="AB244" s="158">
        <v>0</v>
      </c>
      <c r="AC244" s="58" t="s">
        <v>1301</v>
      </c>
      <c r="AD244" s="864"/>
      <c r="AE244" s="69">
        <v>0</v>
      </c>
      <c r="AF244" s="69">
        <v>0</v>
      </c>
      <c r="AG244" s="69" t="s">
        <v>53</v>
      </c>
      <c r="AH244" s="69" t="s">
        <v>53</v>
      </c>
      <c r="AI244" s="69" t="s">
        <v>53</v>
      </c>
      <c r="AJ244" s="69" t="s">
        <v>54</v>
      </c>
      <c r="AK244" s="867"/>
      <c r="AL244" s="7"/>
      <c r="AM244" s="7"/>
      <c r="AN244" s="7"/>
      <c r="AO244" s="7"/>
      <c r="AP244" s="7"/>
      <c r="AQ244" s="7"/>
      <c r="AR244" s="7"/>
      <c r="AS244" s="7"/>
      <c r="AT244" s="7"/>
      <c r="AU244" s="7"/>
      <c r="AV244" s="7"/>
      <c r="AW244" s="7"/>
      <c r="AX244" s="85">
        <f t="shared" si="85"/>
        <v>0</v>
      </c>
      <c r="AY244" s="9"/>
      <c r="AZ244" s="9"/>
      <c r="BA244" s="9"/>
      <c r="BB244" s="9"/>
      <c r="BC244" s="9"/>
      <c r="BD244" s="9"/>
      <c r="BE244" s="9"/>
      <c r="BF244" s="9"/>
      <c r="BG244" s="9"/>
      <c r="BH244" s="9"/>
      <c r="BI244" s="9"/>
      <c r="BJ244" s="9"/>
      <c r="BK244" s="85">
        <f t="shared" si="86"/>
        <v>0</v>
      </c>
      <c r="BL244" s="39">
        <v>708735</v>
      </c>
      <c r="BM244" s="39"/>
      <c r="BN244" s="39"/>
      <c r="BO244" s="39"/>
      <c r="BP244" s="39"/>
      <c r="BQ244" s="39"/>
      <c r="BR244" s="39"/>
      <c r="BS244" s="39"/>
      <c r="BT244" s="39"/>
      <c r="BU244" s="39"/>
      <c r="BV244" s="39"/>
      <c r="BW244" s="52"/>
      <c r="BX244" s="87">
        <f t="shared" si="87"/>
        <v>708735</v>
      </c>
      <c r="BY244" s="112"/>
      <c r="BZ244" s="112"/>
      <c r="CA244" s="112"/>
      <c r="CB244" s="112"/>
      <c r="CC244" s="112"/>
      <c r="CD244" s="112"/>
      <c r="CE244" s="112"/>
      <c r="CF244" s="112"/>
      <c r="CG244" s="112"/>
      <c r="CH244" s="112"/>
      <c r="CI244" s="112"/>
      <c r="CJ244" s="112"/>
      <c r="CK244" s="112">
        <f t="shared" si="88"/>
        <v>0</v>
      </c>
      <c r="DC244" s="4"/>
      <c r="DD244" s="4"/>
      <c r="DE244" s="4"/>
      <c r="DF244" s="4"/>
      <c r="DG244" s="4"/>
      <c r="DH244" s="4"/>
      <c r="DI244" s="4"/>
      <c r="DJ244" s="4"/>
      <c r="DK244" s="4"/>
      <c r="DL244" s="4"/>
      <c r="DM244" s="4"/>
      <c r="DN244" s="4"/>
      <c r="DO244" s="4">
        <f t="shared" si="42"/>
        <v>0</v>
      </c>
    </row>
    <row r="245" spans="1:119" s="10" customFormat="1" ht="27.75" customHeight="1" x14ac:dyDescent="0.2">
      <c r="A245" s="859"/>
      <c r="B245" s="860"/>
      <c r="C245" s="859"/>
      <c r="D245" s="239" t="s">
        <v>239</v>
      </c>
      <c r="E245" s="4" t="s">
        <v>240</v>
      </c>
      <c r="F245" s="4" t="s">
        <v>49</v>
      </c>
      <c r="G245" s="860"/>
      <c r="H245" s="860"/>
      <c r="I245" s="266">
        <v>43650</v>
      </c>
      <c r="J245" s="270">
        <v>44746</v>
      </c>
      <c r="K245" s="272" t="s">
        <v>137</v>
      </c>
      <c r="L245" s="148"/>
      <c r="M245" s="18">
        <f t="shared" si="74"/>
        <v>445152.58</v>
      </c>
      <c r="N245" s="18">
        <f t="shared" si="75"/>
        <v>445152.58</v>
      </c>
      <c r="O245" s="149"/>
      <c r="P245" s="154">
        <f t="shared" si="76"/>
        <v>445152.58</v>
      </c>
      <c r="Q245" s="66">
        <f t="shared" si="77"/>
        <v>53607.917000000001</v>
      </c>
      <c r="R245" s="18">
        <f t="shared" si="78"/>
        <v>498760.49700000003</v>
      </c>
      <c r="S245" s="156"/>
      <c r="T245" s="160">
        <f t="shared" si="79"/>
        <v>498760.49700000003</v>
      </c>
      <c r="U245" s="18">
        <f t="shared" si="80"/>
        <v>0</v>
      </c>
      <c r="V245" s="18">
        <f t="shared" si="81"/>
        <v>498760.49700000003</v>
      </c>
      <c r="W245" s="216"/>
      <c r="X245" s="18">
        <f t="shared" si="82"/>
        <v>498760.49700000003</v>
      </c>
      <c r="Y245" s="18">
        <f t="shared" si="83"/>
        <v>0</v>
      </c>
      <c r="Z245" s="18">
        <f t="shared" si="84"/>
        <v>498760.49700000003</v>
      </c>
      <c r="AA245" s="18"/>
      <c r="AB245" s="158">
        <v>0</v>
      </c>
      <c r="AC245" s="44">
        <v>36</v>
      </c>
      <c r="AD245" s="865"/>
      <c r="AE245" s="69">
        <v>0</v>
      </c>
      <c r="AF245" s="69">
        <v>0</v>
      </c>
      <c r="AG245" s="69" t="s">
        <v>53</v>
      </c>
      <c r="AH245" s="69" t="s">
        <v>53</v>
      </c>
      <c r="AI245" s="69" t="s">
        <v>53</v>
      </c>
      <c r="AJ245" s="69" t="s">
        <v>54</v>
      </c>
      <c r="AK245" s="868"/>
      <c r="AL245" s="7"/>
      <c r="AM245" s="7"/>
      <c r="AN245" s="7"/>
      <c r="AO245" s="7"/>
      <c r="AP245" s="7"/>
      <c r="AQ245" s="7"/>
      <c r="AR245" s="7"/>
      <c r="AS245" s="7"/>
      <c r="AT245" s="7"/>
      <c r="AU245" s="7"/>
      <c r="AV245" s="7"/>
      <c r="AW245" s="7">
        <v>445152.58</v>
      </c>
      <c r="AX245" s="85">
        <f t="shared" si="85"/>
        <v>445152.58</v>
      </c>
      <c r="AY245" s="9"/>
      <c r="AZ245" s="9"/>
      <c r="BA245" s="9"/>
      <c r="BB245" s="9"/>
      <c r="BC245" s="9"/>
      <c r="BD245" s="9"/>
      <c r="BE245" s="9"/>
      <c r="BF245" s="9">
        <v>53607.917000000001</v>
      </c>
      <c r="BG245" s="9"/>
      <c r="BH245" s="9"/>
      <c r="BI245" s="9"/>
      <c r="BJ245" s="9"/>
      <c r="BK245" s="85">
        <f t="shared" si="86"/>
        <v>53607.917000000001</v>
      </c>
      <c r="BL245" s="39"/>
      <c r="BM245" s="39"/>
      <c r="BN245" s="39"/>
      <c r="BO245" s="39"/>
      <c r="BP245" s="39"/>
      <c r="BQ245" s="39"/>
      <c r="BR245" s="39"/>
      <c r="BS245" s="39"/>
      <c r="BT245" s="39"/>
      <c r="BU245" s="39"/>
      <c r="BV245" s="39"/>
      <c r="BW245" s="52"/>
      <c r="BX245" s="87">
        <f t="shared" si="87"/>
        <v>0</v>
      </c>
      <c r="BY245" s="112"/>
      <c r="BZ245" s="112"/>
      <c r="CA245" s="112"/>
      <c r="CB245" s="112"/>
      <c r="CC245" s="112"/>
      <c r="CD245" s="112"/>
      <c r="CE245" s="112"/>
      <c r="CF245" s="112"/>
      <c r="CG245" s="112"/>
      <c r="CH245" s="112"/>
      <c r="CI245" s="112"/>
      <c r="CJ245" s="112"/>
      <c r="CK245" s="112">
        <f t="shared" si="88"/>
        <v>0</v>
      </c>
      <c r="DC245" s="4"/>
      <c r="DD245" s="4"/>
      <c r="DE245" s="4"/>
      <c r="DF245" s="4"/>
      <c r="DG245" s="4"/>
      <c r="DH245" s="4"/>
      <c r="DI245" s="4"/>
      <c r="DJ245" s="4"/>
      <c r="DK245" s="4"/>
      <c r="DL245" s="4"/>
      <c r="DM245" s="4"/>
      <c r="DN245" s="4"/>
      <c r="DO245" s="4">
        <f t="shared" si="42"/>
        <v>0</v>
      </c>
    </row>
    <row r="246" spans="1:119" s="10" customFormat="1" ht="29.25" customHeight="1" x14ac:dyDescent="0.2">
      <c r="A246" s="859" t="s">
        <v>241</v>
      </c>
      <c r="B246" s="860" t="s">
        <v>57</v>
      </c>
      <c r="C246" s="859" t="s">
        <v>242</v>
      </c>
      <c r="D246" s="4" t="s">
        <v>243</v>
      </c>
      <c r="E246" s="4" t="s">
        <v>244</v>
      </c>
      <c r="F246" s="4" t="s">
        <v>49</v>
      </c>
      <c r="G246" s="860" t="s">
        <v>50</v>
      </c>
      <c r="H246" s="860" t="s">
        <v>61</v>
      </c>
      <c r="I246" s="266">
        <v>44124</v>
      </c>
      <c r="J246" s="58">
        <v>44306</v>
      </c>
      <c r="K246" s="204">
        <v>15295550.949999999</v>
      </c>
      <c r="L246" s="148"/>
      <c r="M246" s="18">
        <f t="shared" si="74"/>
        <v>0</v>
      </c>
      <c r="N246" s="18">
        <f t="shared" si="75"/>
        <v>0</v>
      </c>
      <c r="O246" s="149">
        <f>K246-N246</f>
        <v>15295550.949999999</v>
      </c>
      <c r="P246" s="154">
        <f t="shared" si="76"/>
        <v>0</v>
      </c>
      <c r="Q246" s="66">
        <f t="shared" si="77"/>
        <v>4206138.9615000002</v>
      </c>
      <c r="R246" s="18">
        <f t="shared" si="78"/>
        <v>4206138.9615000002</v>
      </c>
      <c r="S246" s="156">
        <f>K246-R246</f>
        <v>11089411.988499999</v>
      </c>
      <c r="T246" s="160">
        <f t="shared" si="79"/>
        <v>4206138.9615000002</v>
      </c>
      <c r="U246" s="18">
        <f t="shared" si="80"/>
        <v>533078.06599999999</v>
      </c>
      <c r="V246" s="18">
        <f t="shared" si="81"/>
        <v>4739217.0274999999</v>
      </c>
      <c r="W246" s="216">
        <f>K246-V246</f>
        <v>10556333.922499999</v>
      </c>
      <c r="X246" s="18">
        <f t="shared" si="82"/>
        <v>4739217.0274999999</v>
      </c>
      <c r="Y246" s="18">
        <f t="shared" si="83"/>
        <v>0</v>
      </c>
      <c r="Z246" s="18">
        <f t="shared" si="84"/>
        <v>4739217.0274999999</v>
      </c>
      <c r="AA246" s="18">
        <f>K246-Z246</f>
        <v>10556333.922499999</v>
      </c>
      <c r="AB246" s="158">
        <v>0</v>
      </c>
      <c r="AC246" s="44">
        <v>6</v>
      </c>
      <c r="AD246" s="863" t="s">
        <v>517</v>
      </c>
      <c r="AE246" s="69">
        <v>0</v>
      </c>
      <c r="AF246" s="69">
        <v>0</v>
      </c>
      <c r="AG246" s="69" t="s">
        <v>53</v>
      </c>
      <c r="AH246" s="69" t="s">
        <v>53</v>
      </c>
      <c r="AI246" s="69" t="s">
        <v>53</v>
      </c>
      <c r="AJ246" s="69" t="s">
        <v>54</v>
      </c>
      <c r="AK246" s="866" t="s">
        <v>70</v>
      </c>
      <c r="AL246" s="7"/>
      <c r="AM246" s="7"/>
      <c r="AN246" s="7"/>
      <c r="AO246" s="7"/>
      <c r="AP246" s="7"/>
      <c r="AQ246" s="7"/>
      <c r="AR246" s="7"/>
      <c r="AS246" s="7"/>
      <c r="AT246" s="7"/>
      <c r="AU246" s="7"/>
      <c r="AV246" s="7"/>
      <c r="AW246" s="7"/>
      <c r="AX246" s="85">
        <f t="shared" si="85"/>
        <v>0</v>
      </c>
      <c r="AY246" s="9"/>
      <c r="AZ246" s="9"/>
      <c r="BA246" s="9"/>
      <c r="BB246" s="9"/>
      <c r="BC246" s="9"/>
      <c r="BD246" s="9">
        <f>877571.325+699282.49</f>
        <v>1576853.8149999999</v>
      </c>
      <c r="BE246" s="9"/>
      <c r="BF246" s="9">
        <v>526895.09750000003</v>
      </c>
      <c r="BG246" s="9">
        <f>472539.163</f>
        <v>472539.163</v>
      </c>
      <c r="BH246" s="9">
        <v>917798.95750000002</v>
      </c>
      <c r="BI246" s="9">
        <v>347857.9915</v>
      </c>
      <c r="BJ246" s="9">
        <v>364193.93700000003</v>
      </c>
      <c r="BK246" s="85">
        <f t="shared" si="86"/>
        <v>4206138.9615000002</v>
      </c>
      <c r="BL246" s="39">
        <v>407546.76349999994</v>
      </c>
      <c r="BM246" s="39"/>
      <c r="BN246" s="39"/>
      <c r="BO246" s="287">
        <v>12572.8925</v>
      </c>
      <c r="BP246" s="39"/>
      <c r="BQ246" s="39">
        <v>89415.94</v>
      </c>
      <c r="BR246" s="39"/>
      <c r="BS246" s="39"/>
      <c r="BT246" s="39"/>
      <c r="BU246" s="39">
        <v>13200.98</v>
      </c>
      <c r="BV246" s="39"/>
      <c r="BW246" s="52">
        <v>10341.49</v>
      </c>
      <c r="BX246" s="87">
        <f t="shared" si="87"/>
        <v>533078.06599999999</v>
      </c>
      <c r="BY246" s="112"/>
      <c r="BZ246" s="112"/>
      <c r="CA246" s="112"/>
      <c r="CB246" s="112"/>
      <c r="CC246" s="112"/>
      <c r="CD246" s="112"/>
      <c r="CE246" s="112"/>
      <c r="CF246" s="112"/>
      <c r="CG246" s="112"/>
      <c r="CH246" s="112"/>
      <c r="CI246" s="112"/>
      <c r="CJ246" s="112"/>
      <c r="CK246" s="112">
        <f t="shared" si="88"/>
        <v>0</v>
      </c>
      <c r="DC246" s="4"/>
      <c r="DD246" s="4"/>
      <c r="DE246" s="4"/>
      <c r="DF246" s="4"/>
      <c r="DG246" s="4"/>
      <c r="DH246" s="4"/>
      <c r="DI246" s="4"/>
      <c r="DJ246" s="4"/>
      <c r="DK246" s="4"/>
      <c r="DL246" s="4"/>
      <c r="DM246" s="4"/>
      <c r="DN246" s="4"/>
      <c r="DO246" s="4">
        <f t="shared" si="42"/>
        <v>0</v>
      </c>
    </row>
    <row r="247" spans="1:119" s="10" customFormat="1" ht="29.25" customHeight="1" x14ac:dyDescent="0.2">
      <c r="A247" s="859"/>
      <c r="B247" s="860"/>
      <c r="C247" s="859"/>
      <c r="D247" s="4" t="s">
        <v>245</v>
      </c>
      <c r="E247" s="4" t="s">
        <v>73</v>
      </c>
      <c r="F247" s="4" t="s">
        <v>49</v>
      </c>
      <c r="G247" s="860"/>
      <c r="H247" s="860"/>
      <c r="I247" s="5">
        <v>42078</v>
      </c>
      <c r="J247" s="5">
        <v>42444</v>
      </c>
      <c r="K247" s="197">
        <f>K246*14/100</f>
        <v>2141377.1329999999</v>
      </c>
      <c r="L247" s="148"/>
      <c r="M247" s="18">
        <f t="shared" si="74"/>
        <v>0</v>
      </c>
      <c r="N247" s="18">
        <f t="shared" si="75"/>
        <v>0</v>
      </c>
      <c r="O247" s="149"/>
      <c r="P247" s="154">
        <f t="shared" si="76"/>
        <v>0</v>
      </c>
      <c r="Q247" s="66">
        <f t="shared" si="77"/>
        <v>2596851.1329999994</v>
      </c>
      <c r="R247" s="18">
        <f t="shared" si="78"/>
        <v>2596851.1329999994</v>
      </c>
      <c r="S247" s="156"/>
      <c r="T247" s="160">
        <f t="shared" si="79"/>
        <v>2596851.1329999994</v>
      </c>
      <c r="U247" s="18">
        <f t="shared" si="80"/>
        <v>0</v>
      </c>
      <c r="V247" s="18">
        <f t="shared" si="81"/>
        <v>2596851.1329999994</v>
      </c>
      <c r="W247" s="216"/>
      <c r="X247" s="18">
        <f t="shared" si="82"/>
        <v>2596851.1329999994</v>
      </c>
      <c r="Y247" s="18">
        <f t="shared" si="83"/>
        <v>0</v>
      </c>
      <c r="Z247" s="18">
        <f t="shared" si="84"/>
        <v>2596851.1329999994</v>
      </c>
      <c r="AA247" s="18"/>
      <c r="AB247" s="158">
        <v>0</v>
      </c>
      <c r="AC247" s="46">
        <v>12</v>
      </c>
      <c r="AD247" s="864"/>
      <c r="AE247" s="69">
        <v>0</v>
      </c>
      <c r="AF247" s="69">
        <v>0</v>
      </c>
      <c r="AG247" s="69" t="s">
        <v>53</v>
      </c>
      <c r="AH247" s="69" t="s">
        <v>53</v>
      </c>
      <c r="AI247" s="69" t="s">
        <v>53</v>
      </c>
      <c r="AJ247" s="69" t="s">
        <v>54</v>
      </c>
      <c r="AK247" s="867"/>
      <c r="AL247" s="7"/>
      <c r="AM247" s="7"/>
      <c r="AN247" s="7"/>
      <c r="AO247" s="7"/>
      <c r="AP247" s="7"/>
      <c r="AQ247" s="7"/>
      <c r="AR247" s="7"/>
      <c r="AS247" s="7"/>
      <c r="AT247" s="7"/>
      <c r="AU247" s="7"/>
      <c r="AV247" s="7"/>
      <c r="AW247" s="7"/>
      <c r="AX247" s="85">
        <f t="shared" si="85"/>
        <v>0</v>
      </c>
      <c r="AY247" s="9"/>
      <c r="AZ247" s="9"/>
      <c r="BA247" s="9">
        <v>2229308.8559999997</v>
      </c>
      <c r="BB247" s="9"/>
      <c r="BC247" s="9"/>
      <c r="BD247" s="9"/>
      <c r="BE247" s="9"/>
      <c r="BF247" s="9"/>
      <c r="BG247" s="9">
        <v>367542.277</v>
      </c>
      <c r="BH247" s="9"/>
      <c r="BI247" s="9"/>
      <c r="BJ247" s="9"/>
      <c r="BK247" s="85">
        <f t="shared" si="86"/>
        <v>2596851.1329999994</v>
      </c>
      <c r="BL247" s="39"/>
      <c r="BM247" s="39"/>
      <c r="BN247" s="39"/>
      <c r="BO247" s="39"/>
      <c r="BP247" s="39"/>
      <c r="BQ247" s="39"/>
      <c r="BR247" s="39"/>
      <c r="BS247" s="39"/>
      <c r="BT247" s="39"/>
      <c r="BU247" s="39"/>
      <c r="BV247" s="39"/>
      <c r="BW247" s="52"/>
      <c r="BX247" s="87">
        <f t="shared" si="87"/>
        <v>0</v>
      </c>
      <c r="BY247" s="112"/>
      <c r="BZ247" s="112"/>
      <c r="CA247" s="112"/>
      <c r="CB247" s="112"/>
      <c r="CC247" s="112"/>
      <c r="CD247" s="112"/>
      <c r="CE247" s="112"/>
      <c r="CF247" s="112"/>
      <c r="CG247" s="112"/>
      <c r="CH247" s="112"/>
      <c r="CI247" s="112"/>
      <c r="CJ247" s="112"/>
      <c r="CK247" s="112">
        <f t="shared" si="88"/>
        <v>0</v>
      </c>
      <c r="DC247" s="4"/>
      <c r="DD247" s="4"/>
      <c r="DE247" s="4"/>
      <c r="DF247" s="4"/>
      <c r="DG247" s="4"/>
      <c r="DH247" s="4"/>
      <c r="DI247" s="4"/>
      <c r="DJ247" s="4"/>
      <c r="DK247" s="4"/>
      <c r="DL247" s="4"/>
      <c r="DM247" s="4"/>
      <c r="DN247" s="4"/>
      <c r="DO247" s="4">
        <f t="shared" si="42"/>
        <v>0</v>
      </c>
    </row>
    <row r="248" spans="1:119" s="10" customFormat="1" ht="29.25" customHeight="1" x14ac:dyDescent="0.2">
      <c r="A248" s="859"/>
      <c r="B248" s="860"/>
      <c r="C248" s="859"/>
      <c r="D248" s="4" t="s">
        <v>64</v>
      </c>
      <c r="E248" s="4" t="s">
        <v>65</v>
      </c>
      <c r="F248" s="4" t="s">
        <v>49</v>
      </c>
      <c r="G248" s="860"/>
      <c r="H248" s="860"/>
      <c r="I248" s="5" t="s">
        <v>1301</v>
      </c>
      <c r="J248" s="5" t="s">
        <v>1301</v>
      </c>
      <c r="K248" s="196">
        <v>0</v>
      </c>
      <c r="L248" s="148"/>
      <c r="M248" s="18">
        <f t="shared" si="74"/>
        <v>0</v>
      </c>
      <c r="N248" s="18">
        <f t="shared" si="75"/>
        <v>0</v>
      </c>
      <c r="O248" s="149"/>
      <c r="P248" s="154">
        <f t="shared" si="76"/>
        <v>0</v>
      </c>
      <c r="Q248" s="66">
        <f t="shared" si="77"/>
        <v>3414444.3344999999</v>
      </c>
      <c r="R248" s="18">
        <f t="shared" si="78"/>
        <v>3414444.3344999999</v>
      </c>
      <c r="S248" s="156"/>
      <c r="T248" s="160">
        <f t="shared" si="79"/>
        <v>3414444.3344999999</v>
      </c>
      <c r="U248" s="18">
        <f t="shared" si="80"/>
        <v>2454819.3019999997</v>
      </c>
      <c r="V248" s="18">
        <f t="shared" si="81"/>
        <v>5869263.6364999991</v>
      </c>
      <c r="W248" s="216"/>
      <c r="X248" s="18">
        <f t="shared" si="82"/>
        <v>5869263.6364999991</v>
      </c>
      <c r="Y248" s="18">
        <f t="shared" si="83"/>
        <v>0</v>
      </c>
      <c r="Z248" s="18">
        <f t="shared" si="84"/>
        <v>5869263.6364999991</v>
      </c>
      <c r="AA248" s="18">
        <f t="shared" ref="AA248:AA253" si="89">K248-Z248</f>
        <v>-5869263.6364999991</v>
      </c>
      <c r="AB248" s="158">
        <v>0</v>
      </c>
      <c r="AC248" s="44" t="s">
        <v>1301</v>
      </c>
      <c r="AD248" s="864"/>
      <c r="AE248" s="69">
        <v>0</v>
      </c>
      <c r="AF248" s="69">
        <v>0</v>
      </c>
      <c r="AG248" s="69" t="s">
        <v>53</v>
      </c>
      <c r="AH248" s="69" t="s">
        <v>53</v>
      </c>
      <c r="AI248" s="69" t="s">
        <v>53</v>
      </c>
      <c r="AJ248" s="69" t="s">
        <v>54</v>
      </c>
      <c r="AK248" s="867"/>
      <c r="AL248" s="7"/>
      <c r="AM248" s="7"/>
      <c r="AN248" s="7"/>
      <c r="AO248" s="7"/>
      <c r="AP248" s="7"/>
      <c r="AQ248" s="7"/>
      <c r="AR248" s="7"/>
      <c r="AS248" s="7"/>
      <c r="AT248" s="7"/>
      <c r="AU248" s="7"/>
      <c r="AV248" s="7"/>
      <c r="AW248" s="7"/>
      <c r="AX248" s="85">
        <f t="shared" si="85"/>
        <v>0</v>
      </c>
      <c r="AY248" s="9"/>
      <c r="AZ248" s="9"/>
      <c r="BA248" s="9"/>
      <c r="BB248" s="9"/>
      <c r="BC248" s="9"/>
      <c r="BD248" s="9"/>
      <c r="BE248" s="9"/>
      <c r="BF248" s="9">
        <v>557865.91999999993</v>
      </c>
      <c r="BG248" s="9">
        <v>440282.33</v>
      </c>
      <c r="BH248" s="9">
        <v>1063876.5</v>
      </c>
      <c r="BI248" s="9"/>
      <c r="BJ248" s="9">
        <v>1352419.5845000001</v>
      </c>
      <c r="BK248" s="85">
        <f t="shared" si="86"/>
        <v>3414444.3344999999</v>
      </c>
      <c r="BL248" s="39">
        <v>890612.00299999991</v>
      </c>
      <c r="BM248" s="39"/>
      <c r="BN248" s="39"/>
      <c r="BO248" s="39">
        <v>1564207.2989999999</v>
      </c>
      <c r="BP248" s="39"/>
      <c r="BQ248" s="39"/>
      <c r="BR248" s="39"/>
      <c r="BS248" s="39"/>
      <c r="BT248" s="39"/>
      <c r="BU248" s="39"/>
      <c r="BV248" s="39"/>
      <c r="BW248" s="52"/>
      <c r="BX248" s="87">
        <f t="shared" si="87"/>
        <v>2454819.3019999997</v>
      </c>
      <c r="BY248" s="112"/>
      <c r="BZ248" s="112"/>
      <c r="CA248" s="112"/>
      <c r="CB248" s="112"/>
      <c r="CC248" s="112"/>
      <c r="CD248" s="112"/>
      <c r="CE248" s="112"/>
      <c r="CF248" s="112"/>
      <c r="CG248" s="112"/>
      <c r="CH248" s="112"/>
      <c r="CI248" s="112"/>
      <c r="CJ248" s="112"/>
      <c r="CK248" s="112">
        <f t="shared" si="88"/>
        <v>0</v>
      </c>
      <c r="DC248" s="4"/>
      <c r="DD248" s="4"/>
      <c r="DE248" s="4"/>
      <c r="DF248" s="4"/>
      <c r="DG248" s="4"/>
      <c r="DH248" s="4"/>
      <c r="DI248" s="4"/>
      <c r="DJ248" s="4"/>
      <c r="DK248" s="4"/>
      <c r="DL248" s="4"/>
      <c r="DM248" s="4"/>
      <c r="DN248" s="4"/>
      <c r="DO248" s="4">
        <f t="shared" si="42"/>
        <v>0</v>
      </c>
    </row>
    <row r="249" spans="1:119" s="10" customFormat="1" ht="29.25" customHeight="1" x14ac:dyDescent="0.2">
      <c r="A249" s="859"/>
      <c r="B249" s="860"/>
      <c r="C249" s="859"/>
      <c r="D249" s="4" t="s">
        <v>246</v>
      </c>
      <c r="E249" s="4" t="s">
        <v>247</v>
      </c>
      <c r="F249" s="4" t="s">
        <v>49</v>
      </c>
      <c r="G249" s="860"/>
      <c r="H249" s="860"/>
      <c r="I249" s="5" t="s">
        <v>1301</v>
      </c>
      <c r="J249" s="5" t="s">
        <v>1301</v>
      </c>
      <c r="K249" s="196">
        <v>0</v>
      </c>
      <c r="L249" s="148"/>
      <c r="M249" s="18">
        <f t="shared" si="74"/>
        <v>0</v>
      </c>
      <c r="N249" s="18">
        <f t="shared" si="75"/>
        <v>0</v>
      </c>
      <c r="O249" s="149"/>
      <c r="P249" s="154">
        <f t="shared" si="76"/>
        <v>0</v>
      </c>
      <c r="Q249" s="66">
        <f t="shared" si="77"/>
        <v>0</v>
      </c>
      <c r="R249" s="18">
        <f t="shared" si="78"/>
        <v>0</v>
      </c>
      <c r="S249" s="156"/>
      <c r="T249" s="160">
        <f t="shared" si="79"/>
        <v>0</v>
      </c>
      <c r="U249" s="18">
        <f t="shared" si="80"/>
        <v>629300</v>
      </c>
      <c r="V249" s="18">
        <f t="shared" si="81"/>
        <v>629300</v>
      </c>
      <c r="W249" s="216"/>
      <c r="X249" s="18">
        <f t="shared" si="82"/>
        <v>629300</v>
      </c>
      <c r="Y249" s="18">
        <f t="shared" si="83"/>
        <v>0</v>
      </c>
      <c r="Z249" s="18">
        <f t="shared" si="84"/>
        <v>629300</v>
      </c>
      <c r="AA249" s="18">
        <f t="shared" si="89"/>
        <v>-629300</v>
      </c>
      <c r="AB249" s="158">
        <v>0</v>
      </c>
      <c r="AC249" s="44" t="s">
        <v>1301</v>
      </c>
      <c r="AD249" s="864"/>
      <c r="AE249" s="69">
        <v>0</v>
      </c>
      <c r="AF249" s="69">
        <v>0</v>
      </c>
      <c r="AG249" s="69" t="s">
        <v>53</v>
      </c>
      <c r="AH249" s="69" t="s">
        <v>53</v>
      </c>
      <c r="AI249" s="69" t="s">
        <v>53</v>
      </c>
      <c r="AJ249" s="69" t="s">
        <v>54</v>
      </c>
      <c r="AK249" s="867"/>
      <c r="AL249" s="7"/>
      <c r="AM249" s="7"/>
      <c r="AN249" s="7"/>
      <c r="AO249" s="7"/>
      <c r="AP249" s="7"/>
      <c r="AQ249" s="7"/>
      <c r="AR249" s="7"/>
      <c r="AS249" s="7"/>
      <c r="AT249" s="7"/>
      <c r="AU249" s="7"/>
      <c r="AV249" s="7"/>
      <c r="AW249" s="7"/>
      <c r="AX249" s="85">
        <f t="shared" si="85"/>
        <v>0</v>
      </c>
      <c r="AY249" s="9"/>
      <c r="AZ249" s="9"/>
      <c r="BA249" s="9"/>
      <c r="BB249" s="9"/>
      <c r="BC249" s="9"/>
      <c r="BD249" s="9"/>
      <c r="BE249" s="9"/>
      <c r="BF249" s="9"/>
      <c r="BG249" s="9"/>
      <c r="BH249" s="9"/>
      <c r="BI249" s="9"/>
      <c r="BJ249" s="9"/>
      <c r="BK249" s="85">
        <f t="shared" si="86"/>
        <v>0</v>
      </c>
      <c r="BL249" s="39"/>
      <c r="BM249" s="39"/>
      <c r="BN249" s="39"/>
      <c r="BO249" s="39">
        <v>138000</v>
      </c>
      <c r="BP249" s="39"/>
      <c r="BQ249" s="39">
        <v>361227.9</v>
      </c>
      <c r="BR249" s="39"/>
      <c r="BS249" s="39"/>
      <c r="BT249" s="39">
        <v>61772.1</v>
      </c>
      <c r="BU249" s="39"/>
      <c r="BV249" s="39"/>
      <c r="BW249" s="52">
        <v>68300</v>
      </c>
      <c r="BX249" s="87">
        <f t="shared" si="87"/>
        <v>629300</v>
      </c>
      <c r="BY249" s="112"/>
      <c r="BZ249" s="112"/>
      <c r="CA249" s="112"/>
      <c r="CB249" s="112"/>
      <c r="CC249" s="112"/>
      <c r="CD249" s="112"/>
      <c r="CE249" s="112"/>
      <c r="CF249" s="112"/>
      <c r="CG249" s="112"/>
      <c r="CH249" s="112"/>
      <c r="CI249" s="112"/>
      <c r="CJ249" s="112"/>
      <c r="CK249" s="112">
        <f t="shared" si="88"/>
        <v>0</v>
      </c>
      <c r="DC249" s="4"/>
      <c r="DD249" s="4"/>
      <c r="DE249" s="4"/>
      <c r="DF249" s="4"/>
      <c r="DG249" s="4"/>
      <c r="DH249" s="4"/>
      <c r="DI249" s="4"/>
      <c r="DJ249" s="4"/>
      <c r="DK249" s="4"/>
      <c r="DL249" s="4"/>
      <c r="DM249" s="4"/>
      <c r="DN249" s="4"/>
      <c r="DO249" s="4">
        <f t="shared" si="42"/>
        <v>0</v>
      </c>
    </row>
    <row r="250" spans="1:119" s="10" customFormat="1" ht="29.25" customHeight="1" x14ac:dyDescent="0.2">
      <c r="A250" s="859"/>
      <c r="B250" s="860"/>
      <c r="C250" s="859"/>
      <c r="D250" s="4" t="s">
        <v>248</v>
      </c>
      <c r="E250" s="4" t="s">
        <v>249</v>
      </c>
      <c r="F250" s="4" t="s">
        <v>49</v>
      </c>
      <c r="G250" s="860"/>
      <c r="H250" s="860"/>
      <c r="I250" s="5" t="s">
        <v>1301</v>
      </c>
      <c r="J250" s="5" t="s">
        <v>1301</v>
      </c>
      <c r="K250" s="196">
        <v>0</v>
      </c>
      <c r="L250" s="148"/>
      <c r="M250" s="18">
        <f t="shared" si="74"/>
        <v>0</v>
      </c>
      <c r="N250" s="18">
        <f t="shared" si="75"/>
        <v>0</v>
      </c>
      <c r="O250" s="149"/>
      <c r="P250" s="154">
        <f t="shared" si="76"/>
        <v>0</v>
      </c>
      <c r="Q250" s="66">
        <f t="shared" si="77"/>
        <v>0</v>
      </c>
      <c r="R250" s="18">
        <f t="shared" si="78"/>
        <v>0</v>
      </c>
      <c r="S250" s="156"/>
      <c r="T250" s="160">
        <f t="shared" si="79"/>
        <v>0</v>
      </c>
      <c r="U250" s="18">
        <f t="shared" si="80"/>
        <v>2427228.3064999999</v>
      </c>
      <c r="V250" s="18">
        <f t="shared" si="81"/>
        <v>2427228.3064999999</v>
      </c>
      <c r="W250" s="216"/>
      <c r="X250" s="18">
        <f t="shared" si="82"/>
        <v>2427228.3064999999</v>
      </c>
      <c r="Y250" s="18">
        <f t="shared" si="83"/>
        <v>0</v>
      </c>
      <c r="Z250" s="18">
        <f t="shared" si="84"/>
        <v>2427228.3064999999</v>
      </c>
      <c r="AA250" s="18">
        <f t="shared" si="89"/>
        <v>-2427228.3064999999</v>
      </c>
      <c r="AB250" s="158">
        <v>0</v>
      </c>
      <c r="AC250" s="44" t="s">
        <v>1301</v>
      </c>
      <c r="AD250" s="864"/>
      <c r="AE250" s="69">
        <v>0</v>
      </c>
      <c r="AF250" s="69">
        <v>0</v>
      </c>
      <c r="AG250" s="69" t="s">
        <v>53</v>
      </c>
      <c r="AH250" s="69" t="s">
        <v>53</v>
      </c>
      <c r="AI250" s="69" t="s">
        <v>53</v>
      </c>
      <c r="AJ250" s="69" t="s">
        <v>54</v>
      </c>
      <c r="AK250" s="867"/>
      <c r="AL250" s="7"/>
      <c r="AM250" s="7"/>
      <c r="AN250" s="7"/>
      <c r="AO250" s="7"/>
      <c r="AP250" s="7"/>
      <c r="AQ250" s="7"/>
      <c r="AR250" s="7"/>
      <c r="AS250" s="7"/>
      <c r="AT250" s="7"/>
      <c r="AU250" s="7"/>
      <c r="AV250" s="7"/>
      <c r="AW250" s="7"/>
      <c r="AX250" s="85">
        <f t="shared" si="85"/>
        <v>0</v>
      </c>
      <c r="AY250" s="9"/>
      <c r="AZ250" s="9"/>
      <c r="BA250" s="9"/>
      <c r="BB250" s="9"/>
      <c r="BC250" s="9"/>
      <c r="BD250" s="9"/>
      <c r="BE250" s="9"/>
      <c r="BF250" s="9"/>
      <c r="BG250" s="9"/>
      <c r="BH250" s="9"/>
      <c r="BI250" s="9"/>
      <c r="BJ250" s="9"/>
      <c r="BK250" s="85">
        <f t="shared" si="86"/>
        <v>0</v>
      </c>
      <c r="BL250" s="39"/>
      <c r="BM250" s="39"/>
      <c r="BN250" s="39"/>
      <c r="BO250" s="39">
        <v>837036.7</v>
      </c>
      <c r="BP250" s="39"/>
      <c r="BQ250" s="39">
        <v>506938.58399999992</v>
      </c>
      <c r="BR250" s="39"/>
      <c r="BS250" s="39"/>
      <c r="BT250" s="39"/>
      <c r="BU250" s="39">
        <v>396712.53299999994</v>
      </c>
      <c r="BV250" s="39"/>
      <c r="BW250" s="52">
        <v>686540.48949999991</v>
      </c>
      <c r="BX250" s="87">
        <f t="shared" si="87"/>
        <v>2427228.3064999999</v>
      </c>
      <c r="BY250" s="112"/>
      <c r="BZ250" s="112"/>
      <c r="CA250" s="112"/>
      <c r="CB250" s="112"/>
      <c r="CC250" s="112"/>
      <c r="CD250" s="112"/>
      <c r="CE250" s="112"/>
      <c r="CF250" s="112"/>
      <c r="CG250" s="112"/>
      <c r="CH250" s="112"/>
      <c r="CI250" s="112"/>
      <c r="CJ250" s="112"/>
      <c r="CK250" s="112">
        <f t="shared" si="88"/>
        <v>0</v>
      </c>
      <c r="DC250" s="4"/>
      <c r="DD250" s="4"/>
      <c r="DE250" s="4"/>
      <c r="DF250" s="4"/>
      <c r="DG250" s="4"/>
      <c r="DH250" s="4"/>
      <c r="DI250" s="4"/>
      <c r="DJ250" s="4"/>
      <c r="DK250" s="4"/>
      <c r="DL250" s="4"/>
      <c r="DM250" s="4"/>
      <c r="DN250" s="4"/>
      <c r="DO250" s="4">
        <f t="shared" si="42"/>
        <v>0</v>
      </c>
    </row>
    <row r="251" spans="1:119" s="10" customFormat="1" ht="29.25" customHeight="1" x14ac:dyDescent="0.2">
      <c r="A251" s="859"/>
      <c r="B251" s="860"/>
      <c r="C251" s="859"/>
      <c r="D251" s="4" t="s">
        <v>250</v>
      </c>
      <c r="E251" s="4" t="s">
        <v>251</v>
      </c>
      <c r="F251" s="4" t="s">
        <v>49</v>
      </c>
      <c r="G251" s="860"/>
      <c r="H251" s="860"/>
      <c r="I251" s="5" t="s">
        <v>1301</v>
      </c>
      <c r="J251" s="5" t="s">
        <v>1301</v>
      </c>
      <c r="K251" s="196">
        <v>0</v>
      </c>
      <c r="L251" s="148"/>
      <c r="M251" s="18">
        <f t="shared" si="74"/>
        <v>0</v>
      </c>
      <c r="N251" s="18">
        <f t="shared" si="75"/>
        <v>0</v>
      </c>
      <c r="O251" s="149"/>
      <c r="P251" s="154">
        <f t="shared" si="76"/>
        <v>0</v>
      </c>
      <c r="Q251" s="66">
        <f t="shared" si="77"/>
        <v>0</v>
      </c>
      <c r="R251" s="18">
        <f t="shared" si="78"/>
        <v>0</v>
      </c>
      <c r="S251" s="156"/>
      <c r="T251" s="160">
        <f t="shared" si="79"/>
        <v>0</v>
      </c>
      <c r="U251" s="18">
        <f t="shared" si="80"/>
        <v>1139910.094</v>
      </c>
      <c r="V251" s="18">
        <f t="shared" si="81"/>
        <v>1139910.094</v>
      </c>
      <c r="W251" s="216"/>
      <c r="X251" s="18">
        <f t="shared" si="82"/>
        <v>1139910.094</v>
      </c>
      <c r="Y251" s="18">
        <f t="shared" si="83"/>
        <v>0</v>
      </c>
      <c r="Z251" s="18">
        <f t="shared" si="84"/>
        <v>1139910.094</v>
      </c>
      <c r="AA251" s="18">
        <f t="shared" si="89"/>
        <v>-1139910.094</v>
      </c>
      <c r="AB251" s="158">
        <v>0</v>
      </c>
      <c r="AC251" s="44" t="s">
        <v>1301</v>
      </c>
      <c r="AD251" s="864"/>
      <c r="AE251" s="69">
        <v>0</v>
      </c>
      <c r="AF251" s="69">
        <v>0</v>
      </c>
      <c r="AG251" s="69" t="s">
        <v>53</v>
      </c>
      <c r="AH251" s="69" t="s">
        <v>53</v>
      </c>
      <c r="AI251" s="69" t="s">
        <v>53</v>
      </c>
      <c r="AJ251" s="69" t="s">
        <v>54</v>
      </c>
      <c r="AK251" s="867"/>
      <c r="AL251" s="7"/>
      <c r="AM251" s="7"/>
      <c r="AN251" s="7"/>
      <c r="AO251" s="7"/>
      <c r="AP251" s="7"/>
      <c r="AQ251" s="7"/>
      <c r="AR251" s="7"/>
      <c r="AS251" s="7"/>
      <c r="AT251" s="7"/>
      <c r="AU251" s="7"/>
      <c r="AV251" s="7"/>
      <c r="AW251" s="7"/>
      <c r="AX251" s="85">
        <f t="shared" si="85"/>
        <v>0</v>
      </c>
      <c r="AY251" s="9"/>
      <c r="AZ251" s="9"/>
      <c r="BA251" s="9"/>
      <c r="BB251" s="9"/>
      <c r="BC251" s="9"/>
      <c r="BD251" s="9"/>
      <c r="BE251" s="9"/>
      <c r="BF251" s="9"/>
      <c r="BG251" s="9"/>
      <c r="BH251" s="9"/>
      <c r="BI251" s="9"/>
      <c r="BJ251" s="9"/>
      <c r="BK251" s="85">
        <f t="shared" si="86"/>
        <v>0</v>
      </c>
      <c r="BL251" s="39"/>
      <c r="BM251" s="39"/>
      <c r="BN251" s="39"/>
      <c r="BO251" s="39">
        <v>315533.04399999999</v>
      </c>
      <c r="BP251" s="39"/>
      <c r="BQ251" s="39">
        <v>194345.26199999999</v>
      </c>
      <c r="BR251" s="39"/>
      <c r="BS251" s="39"/>
      <c r="BT251" s="39">
        <v>127897.618</v>
      </c>
      <c r="BU251" s="39"/>
      <c r="BV251" s="39"/>
      <c r="BW251" s="281">
        <f>86319.69+145664.41+270150.07</f>
        <v>502134.17000000004</v>
      </c>
      <c r="BX251" s="87">
        <f t="shared" si="87"/>
        <v>1139910.094</v>
      </c>
      <c r="BY251" s="112"/>
      <c r="BZ251" s="112"/>
      <c r="CA251" s="112"/>
      <c r="CB251" s="112"/>
      <c r="CC251" s="112"/>
      <c r="CD251" s="112"/>
      <c r="CE251" s="112"/>
      <c r="CF251" s="112"/>
      <c r="CG251" s="112"/>
      <c r="CH251" s="112"/>
      <c r="CI251" s="112"/>
      <c r="CJ251" s="112"/>
      <c r="CK251" s="112">
        <f t="shared" si="88"/>
        <v>0</v>
      </c>
      <c r="DC251" s="4"/>
      <c r="DD251" s="4"/>
      <c r="DE251" s="4"/>
      <c r="DF251" s="4"/>
      <c r="DG251" s="4"/>
      <c r="DH251" s="4"/>
      <c r="DI251" s="4"/>
      <c r="DJ251" s="4"/>
      <c r="DK251" s="4"/>
      <c r="DL251" s="4"/>
      <c r="DM251" s="4"/>
      <c r="DN251" s="4"/>
      <c r="DO251" s="4">
        <f t="shared" si="42"/>
        <v>0</v>
      </c>
    </row>
    <row r="252" spans="1:119" ht="25.9" customHeight="1" x14ac:dyDescent="0.25">
      <c r="A252" s="859" t="s">
        <v>252</v>
      </c>
      <c r="B252" s="860" t="s">
        <v>57</v>
      </c>
      <c r="C252" s="859" t="s">
        <v>253</v>
      </c>
      <c r="D252" s="4" t="s">
        <v>254</v>
      </c>
      <c r="E252" s="4" t="s">
        <v>255</v>
      </c>
      <c r="F252" s="4" t="s">
        <v>49</v>
      </c>
      <c r="G252" s="860" t="s">
        <v>50</v>
      </c>
      <c r="H252" s="860" t="s">
        <v>61</v>
      </c>
      <c r="I252" s="266">
        <v>44161</v>
      </c>
      <c r="J252" s="58">
        <v>44281</v>
      </c>
      <c r="K252" s="204">
        <v>1965000.25</v>
      </c>
      <c r="L252" s="148"/>
      <c r="M252" s="18">
        <f t="shared" si="74"/>
        <v>0</v>
      </c>
      <c r="N252" s="18">
        <f t="shared" si="75"/>
        <v>0</v>
      </c>
      <c r="O252" s="149">
        <f>K252-N252</f>
        <v>1965000.25</v>
      </c>
      <c r="P252" s="154">
        <f t="shared" si="76"/>
        <v>0</v>
      </c>
      <c r="Q252" s="66">
        <f t="shared" si="77"/>
        <v>1453628.4100000001</v>
      </c>
      <c r="R252" s="18">
        <f t="shared" si="78"/>
        <v>1453628.4100000001</v>
      </c>
      <c r="S252" s="156">
        <f>K252-R252</f>
        <v>511371.83999999985</v>
      </c>
      <c r="T252" s="160">
        <f t="shared" si="79"/>
        <v>1453628.4100000001</v>
      </c>
      <c r="U252" s="18">
        <f t="shared" si="80"/>
        <v>549796.00049999997</v>
      </c>
      <c r="V252" s="18">
        <f t="shared" si="81"/>
        <v>2003424.4105000002</v>
      </c>
      <c r="W252" s="216">
        <f>K252-V252</f>
        <v>-38424.160500000231</v>
      </c>
      <c r="X252" s="18">
        <f t="shared" si="82"/>
        <v>2003424.4105000002</v>
      </c>
      <c r="Y252" s="18">
        <f t="shared" si="83"/>
        <v>211066.39</v>
      </c>
      <c r="Z252" s="18">
        <f t="shared" si="84"/>
        <v>2214490.8005000004</v>
      </c>
      <c r="AA252" s="18">
        <f t="shared" si="89"/>
        <v>-249490.55050000036</v>
      </c>
      <c r="AB252" s="158">
        <v>0</v>
      </c>
      <c r="AC252" s="44">
        <v>4</v>
      </c>
      <c r="AD252" s="863" t="s">
        <v>517</v>
      </c>
      <c r="AE252" s="69">
        <v>0</v>
      </c>
      <c r="AF252" s="69">
        <v>0</v>
      </c>
      <c r="AG252" s="69" t="s">
        <v>53</v>
      </c>
      <c r="AH252" s="69" t="s">
        <v>53</v>
      </c>
      <c r="AI252" s="69" t="s">
        <v>53</v>
      </c>
      <c r="AJ252" s="69" t="s">
        <v>54</v>
      </c>
      <c r="AK252" s="866" t="s">
        <v>70</v>
      </c>
      <c r="AL252" s="7"/>
      <c r="AM252" s="7"/>
      <c r="AN252" s="7"/>
      <c r="AO252" s="7"/>
      <c r="AP252" s="7"/>
      <c r="AQ252" s="7"/>
      <c r="AR252" s="7"/>
      <c r="AS252" s="7"/>
      <c r="AT252" s="7"/>
      <c r="AU252" s="7"/>
      <c r="AV252" s="7"/>
      <c r="AW252" s="7"/>
      <c r="AX252" s="85">
        <f t="shared" si="85"/>
        <v>0</v>
      </c>
      <c r="AY252" s="9"/>
      <c r="AZ252" s="9"/>
      <c r="BA252" s="9"/>
      <c r="BB252" s="9"/>
      <c r="BC252" s="9"/>
      <c r="BD252" s="9"/>
      <c r="BE252" s="9"/>
      <c r="BF252" s="9">
        <f>361785.77+550369.3</f>
        <v>912155.07000000007</v>
      </c>
      <c r="BG252" s="9"/>
      <c r="BH252" s="9">
        <v>110440.76</v>
      </c>
      <c r="BI252" s="9">
        <v>431032.58</v>
      </c>
      <c r="BJ252" s="9"/>
      <c r="BK252" s="85">
        <f t="shared" si="86"/>
        <v>1453628.4100000001</v>
      </c>
      <c r="BL252" s="295">
        <v>294076.93049999996</v>
      </c>
      <c r="BM252" s="39">
        <v>255719.07</v>
      </c>
      <c r="BN252" s="39"/>
      <c r="BO252" s="39"/>
      <c r="BP252" s="39"/>
      <c r="BQ252" s="39"/>
      <c r="BR252" s="39"/>
      <c r="BS252" s="39"/>
      <c r="BT252" s="39"/>
      <c r="BU252" s="39"/>
      <c r="BV252" s="39"/>
      <c r="BW252" s="52"/>
      <c r="BX252" s="87">
        <f t="shared" si="87"/>
        <v>549796.00049999997</v>
      </c>
      <c r="BY252" s="112"/>
      <c r="BZ252" s="112"/>
      <c r="CA252" s="112"/>
      <c r="CB252" s="112"/>
      <c r="CC252" s="112"/>
      <c r="CD252" s="291">
        <f>105533.2+105533.19</f>
        <v>211066.39</v>
      </c>
      <c r="CE252" s="112"/>
      <c r="CF252" s="112"/>
      <c r="CG252" s="112"/>
      <c r="CH252" s="112"/>
      <c r="CI252" s="112"/>
      <c r="CJ252" s="112"/>
      <c r="CK252" s="112">
        <f t="shared" si="88"/>
        <v>211066.39</v>
      </c>
      <c r="DC252" s="518"/>
      <c r="DD252" s="518"/>
      <c r="DE252" s="518"/>
      <c r="DF252" s="518"/>
      <c r="DG252" s="518"/>
      <c r="DH252" s="518"/>
      <c r="DI252" s="518"/>
      <c r="DJ252" s="518"/>
      <c r="DK252" s="518"/>
      <c r="DL252" s="518"/>
      <c r="DM252" s="518"/>
      <c r="DN252" s="518"/>
      <c r="DO252" s="518">
        <f t="shared" si="42"/>
        <v>0</v>
      </c>
    </row>
    <row r="253" spans="1:119" ht="25.9" customHeight="1" x14ac:dyDescent="0.25">
      <c r="A253" s="859"/>
      <c r="B253" s="860"/>
      <c r="C253" s="859"/>
      <c r="D253" s="4" t="s">
        <v>256</v>
      </c>
      <c r="E253" s="4" t="s">
        <v>257</v>
      </c>
      <c r="F253" s="4" t="s">
        <v>49</v>
      </c>
      <c r="G253" s="860"/>
      <c r="H253" s="860"/>
      <c r="I253" s="5">
        <v>44268</v>
      </c>
      <c r="J253" s="58">
        <v>44342</v>
      </c>
      <c r="K253" s="197">
        <v>150500</v>
      </c>
      <c r="L253" s="148"/>
      <c r="M253" s="18">
        <f t="shared" si="74"/>
        <v>0</v>
      </c>
      <c r="N253" s="18">
        <f t="shared" si="75"/>
        <v>0</v>
      </c>
      <c r="O253" s="149">
        <f>K253-N253</f>
        <v>150500</v>
      </c>
      <c r="P253" s="154">
        <f t="shared" si="76"/>
        <v>0</v>
      </c>
      <c r="Q253" s="66">
        <f t="shared" si="77"/>
        <v>114137.5</v>
      </c>
      <c r="R253" s="18">
        <f t="shared" si="78"/>
        <v>114137.5</v>
      </c>
      <c r="S253" s="156">
        <f>K253-R253</f>
        <v>36362.5</v>
      </c>
      <c r="T253" s="160">
        <f t="shared" si="79"/>
        <v>114137.5</v>
      </c>
      <c r="U253" s="18">
        <f t="shared" si="80"/>
        <v>35862.5</v>
      </c>
      <c r="V253" s="18">
        <f t="shared" si="81"/>
        <v>150000</v>
      </c>
      <c r="W253" s="216">
        <f>K253-V253</f>
        <v>500</v>
      </c>
      <c r="X253" s="18">
        <f t="shared" si="82"/>
        <v>150000</v>
      </c>
      <c r="Y253" s="18">
        <f t="shared" si="83"/>
        <v>0</v>
      </c>
      <c r="Z253" s="18">
        <f t="shared" si="84"/>
        <v>150000</v>
      </c>
      <c r="AA253" s="18">
        <f t="shared" si="89"/>
        <v>500</v>
      </c>
      <c r="AB253" s="158">
        <v>0</v>
      </c>
      <c r="AC253" s="44">
        <v>2</v>
      </c>
      <c r="AD253" s="864"/>
      <c r="AE253" s="69">
        <v>0</v>
      </c>
      <c r="AF253" s="69">
        <v>0</v>
      </c>
      <c r="AG253" s="69" t="s">
        <v>53</v>
      </c>
      <c r="AH253" s="69" t="s">
        <v>53</v>
      </c>
      <c r="AI253" s="69" t="s">
        <v>53</v>
      </c>
      <c r="AJ253" s="69" t="s">
        <v>54</v>
      </c>
      <c r="AK253" s="867"/>
      <c r="AL253" s="7"/>
      <c r="AM253" s="7"/>
      <c r="AN253" s="7"/>
      <c r="AO253" s="7"/>
      <c r="AP253" s="7"/>
      <c r="AQ253" s="7"/>
      <c r="AR253" s="7"/>
      <c r="AS253" s="7"/>
      <c r="AT253" s="7"/>
      <c r="AU253" s="7"/>
      <c r="AV253" s="7"/>
      <c r="AW253" s="7"/>
      <c r="AX253" s="85">
        <f t="shared" si="85"/>
        <v>0</v>
      </c>
      <c r="AY253" s="9"/>
      <c r="AZ253" s="9"/>
      <c r="BA253" s="9"/>
      <c r="BB253" s="9"/>
      <c r="BC253" s="9"/>
      <c r="BD253" s="9"/>
      <c r="BE253" s="9"/>
      <c r="BF253" s="9"/>
      <c r="BG253" s="9"/>
      <c r="BH253" s="9"/>
      <c r="BI253" s="9">
        <v>114137.5</v>
      </c>
      <c r="BJ253" s="9"/>
      <c r="BK253" s="85">
        <f t="shared" si="86"/>
        <v>114137.5</v>
      </c>
      <c r="BL253" s="39"/>
      <c r="BM253" s="39">
        <v>35862.5</v>
      </c>
      <c r="BN253" s="39"/>
      <c r="BO253" s="39"/>
      <c r="BP253" s="39"/>
      <c r="BQ253" s="39"/>
      <c r="BR253" s="39"/>
      <c r="BS253" s="39"/>
      <c r="BT253" s="39"/>
      <c r="BU253" s="39"/>
      <c r="BV253" s="39"/>
      <c r="BW253" s="52"/>
      <c r="BX253" s="87">
        <f t="shared" si="87"/>
        <v>35862.5</v>
      </c>
      <c r="BY253" s="112"/>
      <c r="BZ253" s="112"/>
      <c r="CA253" s="112"/>
      <c r="CB253" s="112"/>
      <c r="CC253" s="112"/>
      <c r="CD253" s="112"/>
      <c r="CE253" s="112"/>
      <c r="CF253" s="112"/>
      <c r="CG253" s="112"/>
      <c r="CH253" s="112"/>
      <c r="CI253" s="112"/>
      <c r="CJ253" s="112"/>
      <c r="CK253" s="112">
        <f t="shared" si="88"/>
        <v>0</v>
      </c>
      <c r="DC253" s="518"/>
      <c r="DD253" s="518"/>
      <c r="DE253" s="518"/>
      <c r="DF253" s="518"/>
      <c r="DG253" s="518"/>
      <c r="DH253" s="518"/>
      <c r="DI253" s="518"/>
      <c r="DJ253" s="518"/>
      <c r="DK253" s="518"/>
      <c r="DL253" s="518"/>
      <c r="DM253" s="518"/>
      <c r="DN253" s="518"/>
      <c r="DO253" s="518">
        <f t="shared" si="42"/>
        <v>0</v>
      </c>
    </row>
    <row r="254" spans="1:119" ht="25.9" customHeight="1" x14ac:dyDescent="0.25">
      <c r="A254" s="859"/>
      <c r="B254" s="860"/>
      <c r="C254" s="859"/>
      <c r="D254" s="4" t="s">
        <v>258</v>
      </c>
      <c r="E254" s="4" t="s">
        <v>259</v>
      </c>
      <c r="F254" s="4" t="s">
        <v>49</v>
      </c>
      <c r="G254" s="860"/>
      <c r="H254" s="860"/>
      <c r="I254" s="5">
        <v>43650</v>
      </c>
      <c r="J254" s="58">
        <v>44746</v>
      </c>
      <c r="K254" s="200" t="s">
        <v>1308</v>
      </c>
      <c r="L254" s="148"/>
      <c r="M254" s="18">
        <f t="shared" si="74"/>
        <v>0</v>
      </c>
      <c r="N254" s="18">
        <f t="shared" si="75"/>
        <v>0</v>
      </c>
      <c r="O254" s="149"/>
      <c r="P254" s="154">
        <f t="shared" si="76"/>
        <v>0</v>
      </c>
      <c r="Q254" s="66">
        <f t="shared" si="77"/>
        <v>303628.75799999997</v>
      </c>
      <c r="R254" s="18">
        <f t="shared" si="78"/>
        <v>303628.75799999997</v>
      </c>
      <c r="S254" s="156"/>
      <c r="T254" s="160">
        <f t="shared" si="79"/>
        <v>303628.75799999997</v>
      </c>
      <c r="U254" s="18">
        <f t="shared" si="80"/>
        <v>50000</v>
      </c>
      <c r="V254" s="18">
        <f t="shared" si="81"/>
        <v>353628.75799999997</v>
      </c>
      <c r="W254" s="216"/>
      <c r="X254" s="18">
        <f t="shared" si="82"/>
        <v>353628.75799999997</v>
      </c>
      <c r="Y254" s="18">
        <f t="shared" si="83"/>
        <v>0</v>
      </c>
      <c r="Z254" s="18">
        <f t="shared" si="84"/>
        <v>353628.75799999997</v>
      </c>
      <c r="AA254" s="18"/>
      <c r="AB254" s="158">
        <v>0</v>
      </c>
      <c r="AC254" s="44">
        <v>36</v>
      </c>
      <c r="AD254" s="865"/>
      <c r="AE254" s="69">
        <v>0</v>
      </c>
      <c r="AF254" s="69">
        <v>0</v>
      </c>
      <c r="AG254" s="69" t="s">
        <v>53</v>
      </c>
      <c r="AH254" s="69" t="s">
        <v>53</v>
      </c>
      <c r="AI254" s="69" t="s">
        <v>53</v>
      </c>
      <c r="AJ254" s="69" t="s">
        <v>54</v>
      </c>
      <c r="AK254" s="868"/>
      <c r="AL254" s="7"/>
      <c r="AM254" s="7"/>
      <c r="AN254" s="7"/>
      <c r="AO254" s="7"/>
      <c r="AP254" s="7"/>
      <c r="AQ254" s="7"/>
      <c r="AR254" s="7"/>
      <c r="AS254" s="7"/>
      <c r="AT254" s="7"/>
      <c r="AU254" s="7"/>
      <c r="AV254" s="7"/>
      <c r="AW254" s="7"/>
      <c r="AX254" s="85">
        <f t="shared" si="85"/>
        <v>0</v>
      </c>
      <c r="AY254" s="9"/>
      <c r="AZ254" s="9"/>
      <c r="BA254" s="9"/>
      <c r="BB254" s="9">
        <v>233506.94799999997</v>
      </c>
      <c r="BC254" s="9"/>
      <c r="BD254" s="9"/>
      <c r="BE254" s="9"/>
      <c r="BF254" s="9">
        <v>39468.69</v>
      </c>
      <c r="BG254" s="9"/>
      <c r="BH254" s="9">
        <v>30653.119999999999</v>
      </c>
      <c r="BI254" s="9"/>
      <c r="BJ254" s="9"/>
      <c r="BK254" s="85">
        <f t="shared" si="86"/>
        <v>303628.75799999997</v>
      </c>
      <c r="BL254" s="39"/>
      <c r="BM254" s="39"/>
      <c r="BN254" s="39"/>
      <c r="BO254" s="39"/>
      <c r="BP254" s="39"/>
      <c r="BQ254" s="39"/>
      <c r="BR254" s="39"/>
      <c r="BS254" s="39"/>
      <c r="BT254" s="39"/>
      <c r="BU254" s="39"/>
      <c r="BV254" s="39"/>
      <c r="BW254" s="52">
        <v>50000</v>
      </c>
      <c r="BX254" s="87">
        <f t="shared" si="87"/>
        <v>50000</v>
      </c>
      <c r="BY254" s="112"/>
      <c r="BZ254" s="112"/>
      <c r="CA254" s="112"/>
      <c r="CB254" s="112"/>
      <c r="CC254" s="112"/>
      <c r="CD254" s="112"/>
      <c r="CE254" s="112"/>
      <c r="CF254" s="112"/>
      <c r="CG254" s="112"/>
      <c r="CH254" s="112"/>
      <c r="CI254" s="112"/>
      <c r="CJ254" s="112"/>
      <c r="CK254" s="112">
        <f t="shared" si="88"/>
        <v>0</v>
      </c>
      <c r="DC254" s="518"/>
      <c r="DD254" s="518"/>
      <c r="DE254" s="518"/>
      <c r="DF254" s="518"/>
      <c r="DG254" s="518"/>
      <c r="DH254" s="518"/>
      <c r="DI254" s="518"/>
      <c r="DJ254" s="518"/>
      <c r="DK254" s="518"/>
      <c r="DL254" s="518"/>
      <c r="DM254" s="518"/>
      <c r="DN254" s="518"/>
      <c r="DO254" s="518">
        <f t="shared" si="42"/>
        <v>0</v>
      </c>
    </row>
    <row r="255" spans="1:119" s="10" customFormat="1" ht="31.5" customHeight="1" x14ac:dyDescent="0.2">
      <c r="A255" s="36" t="s">
        <v>262</v>
      </c>
      <c r="B255" s="297" t="s">
        <v>57</v>
      </c>
      <c r="C255" s="36" t="s">
        <v>263</v>
      </c>
      <c r="D255" s="284" t="s">
        <v>264</v>
      </c>
      <c r="E255" s="284" t="s">
        <v>265</v>
      </c>
      <c r="F255" s="284" t="s">
        <v>49</v>
      </c>
      <c r="G255" s="297" t="s">
        <v>50</v>
      </c>
      <c r="H255" s="297" t="s">
        <v>61</v>
      </c>
      <c r="I255" s="298">
        <v>44232</v>
      </c>
      <c r="J255" s="299">
        <v>44352</v>
      </c>
      <c r="K255" s="300">
        <v>1098415.29</v>
      </c>
      <c r="L255" s="301"/>
      <c r="M255" s="302">
        <f t="shared" si="74"/>
        <v>0</v>
      </c>
      <c r="N255" s="302">
        <f t="shared" si="75"/>
        <v>0</v>
      </c>
      <c r="O255" s="303">
        <f>K255-N255</f>
        <v>1098415.29</v>
      </c>
      <c r="P255" s="304">
        <f t="shared" si="76"/>
        <v>0</v>
      </c>
      <c r="Q255" s="305">
        <f t="shared" si="77"/>
        <v>1068558.8500000001</v>
      </c>
      <c r="R255" s="302">
        <f t="shared" si="78"/>
        <v>1068558.8500000001</v>
      </c>
      <c r="S255" s="306">
        <f>K255-R255</f>
        <v>29856.439999999944</v>
      </c>
      <c r="T255" s="307">
        <f t="shared" si="79"/>
        <v>1068558.8500000001</v>
      </c>
      <c r="U255" s="302">
        <f t="shared" si="80"/>
        <v>0</v>
      </c>
      <c r="V255" s="302">
        <f t="shared" si="81"/>
        <v>1068558.8500000001</v>
      </c>
      <c r="W255" s="308">
        <f>K255-V255</f>
        <v>29856.439999999944</v>
      </c>
      <c r="X255" s="302">
        <f t="shared" si="82"/>
        <v>1068558.8500000001</v>
      </c>
      <c r="Y255" s="302">
        <f t="shared" si="83"/>
        <v>0</v>
      </c>
      <c r="Z255" s="302">
        <f t="shared" si="84"/>
        <v>1068558.8500000001</v>
      </c>
      <c r="AA255" s="302">
        <f>K255-Z255</f>
        <v>29856.439999999944</v>
      </c>
      <c r="AB255" s="309">
        <v>0</v>
      </c>
      <c r="AC255" s="36">
        <v>4</v>
      </c>
      <c r="AD255" s="36" t="s">
        <v>517</v>
      </c>
      <c r="AE255" s="310">
        <v>0</v>
      </c>
      <c r="AF255" s="310">
        <v>0</v>
      </c>
      <c r="AG255" s="310" t="s">
        <v>53</v>
      </c>
      <c r="AH255" s="310" t="s">
        <v>53</v>
      </c>
      <c r="AI255" s="310" t="s">
        <v>53</v>
      </c>
      <c r="AJ255" s="310" t="s">
        <v>54</v>
      </c>
      <c r="AK255" s="297" t="s">
        <v>70</v>
      </c>
      <c r="AL255" s="311"/>
      <c r="AM255" s="311"/>
      <c r="AN255" s="311"/>
      <c r="AO255" s="311"/>
      <c r="AP255" s="311"/>
      <c r="AQ255" s="311"/>
      <c r="AR255" s="311"/>
      <c r="AS255" s="311"/>
      <c r="AT255" s="311"/>
      <c r="AU255" s="311"/>
      <c r="AV255" s="311"/>
      <c r="AW255" s="311"/>
      <c r="AX255" s="312">
        <f t="shared" si="85"/>
        <v>0</v>
      </c>
      <c r="AY255" s="313"/>
      <c r="AZ255" s="313"/>
      <c r="BA255" s="313"/>
      <c r="BB255" s="313"/>
      <c r="BC255" s="313"/>
      <c r="BD255" s="313"/>
      <c r="BE255" s="313"/>
      <c r="BF255" s="313"/>
      <c r="BG255" s="313">
        <f>122850+385667.3</f>
        <v>508517.3</v>
      </c>
      <c r="BH255" s="313">
        <v>411480.16</v>
      </c>
      <c r="BI255" s="313"/>
      <c r="BJ255" s="313">
        <v>148561.39000000001</v>
      </c>
      <c r="BK255" s="312">
        <f t="shared" si="86"/>
        <v>1068558.8500000001</v>
      </c>
      <c r="BL255" s="314"/>
      <c r="BM255" s="314"/>
      <c r="BN255" s="314"/>
      <c r="BO255" s="314"/>
      <c r="BP255" s="314"/>
      <c r="BQ255" s="314"/>
      <c r="BR255" s="314"/>
      <c r="BS255" s="314"/>
      <c r="BT255" s="314"/>
      <c r="BU255" s="314"/>
      <c r="BV255" s="314"/>
      <c r="BW255" s="315"/>
      <c r="BX255" s="316">
        <f t="shared" si="87"/>
        <v>0</v>
      </c>
      <c r="BY255" s="314"/>
      <c r="BZ255" s="314"/>
      <c r="CA255" s="314"/>
      <c r="CB255" s="314"/>
      <c r="CC255" s="314"/>
      <c r="CD255" s="314"/>
      <c r="CE255" s="314"/>
      <c r="CF255" s="314"/>
      <c r="CG255" s="314"/>
      <c r="CH255" s="314"/>
      <c r="CI255" s="314"/>
      <c r="CJ255" s="314"/>
      <c r="CK255" s="314">
        <f t="shared" si="88"/>
        <v>0</v>
      </c>
      <c r="CL255" s="317"/>
      <c r="CM255" s="317"/>
      <c r="CN255" s="317"/>
      <c r="CO255" s="317"/>
      <c r="CP255" s="317"/>
      <c r="CQ255" s="317"/>
      <c r="CR255" s="317"/>
      <c r="CS255" s="317"/>
      <c r="CT255" s="317"/>
      <c r="CU255" s="317"/>
      <c r="CV255" s="317"/>
      <c r="CW255" s="317"/>
      <c r="CX255" s="317"/>
      <c r="CY255" s="317"/>
      <c r="CZ255" s="317"/>
      <c r="DA255" s="317"/>
      <c r="DB255" s="317"/>
      <c r="DC255" s="284"/>
      <c r="DD255" s="284"/>
      <c r="DE255" s="284"/>
      <c r="DF255" s="284"/>
      <c r="DG255" s="284"/>
      <c r="DH255" s="284"/>
      <c r="DI255" s="284"/>
      <c r="DJ255" s="284"/>
      <c r="DK255" s="284"/>
      <c r="DL255" s="284"/>
      <c r="DM255" s="284"/>
      <c r="DN255" s="284"/>
      <c r="DO255" s="284">
        <f t="shared" si="42"/>
        <v>0</v>
      </c>
    </row>
    <row r="256" spans="1:119" s="10" customFormat="1" ht="27.75" customHeight="1" x14ac:dyDescent="0.2">
      <c r="A256" s="36" t="s">
        <v>266</v>
      </c>
      <c r="B256" s="297" t="s">
        <v>57</v>
      </c>
      <c r="C256" s="36" t="s">
        <v>267</v>
      </c>
      <c r="D256" s="284" t="s">
        <v>268</v>
      </c>
      <c r="E256" s="284" t="s">
        <v>269</v>
      </c>
      <c r="F256" s="284" t="s">
        <v>49</v>
      </c>
      <c r="G256" s="297" t="s">
        <v>50</v>
      </c>
      <c r="H256" s="297" t="s">
        <v>61</v>
      </c>
      <c r="I256" s="298">
        <v>44232</v>
      </c>
      <c r="J256" s="299">
        <v>44352</v>
      </c>
      <c r="K256" s="318">
        <v>1007748.5</v>
      </c>
      <c r="L256" s="301"/>
      <c r="M256" s="302">
        <f t="shared" si="74"/>
        <v>0</v>
      </c>
      <c r="N256" s="302">
        <f t="shared" si="75"/>
        <v>0</v>
      </c>
      <c r="O256" s="303">
        <f>K256-N256</f>
        <v>1007748.5</v>
      </c>
      <c r="P256" s="304">
        <f t="shared" si="76"/>
        <v>0</v>
      </c>
      <c r="Q256" s="305">
        <f t="shared" si="77"/>
        <v>1001133.5</v>
      </c>
      <c r="R256" s="302">
        <f t="shared" si="78"/>
        <v>1001133.5</v>
      </c>
      <c r="S256" s="306">
        <f>K256-R256</f>
        <v>6615</v>
      </c>
      <c r="T256" s="307">
        <f t="shared" si="79"/>
        <v>1001133.5</v>
      </c>
      <c r="U256" s="302">
        <f t="shared" si="80"/>
        <v>0</v>
      </c>
      <c r="V256" s="302">
        <f t="shared" si="81"/>
        <v>1001133.5</v>
      </c>
      <c r="W256" s="308">
        <f>K256-V256</f>
        <v>6615</v>
      </c>
      <c r="X256" s="302">
        <f t="shared" si="82"/>
        <v>1001133.5</v>
      </c>
      <c r="Y256" s="302">
        <f t="shared" si="83"/>
        <v>0</v>
      </c>
      <c r="Z256" s="302">
        <f t="shared" si="84"/>
        <v>1001133.5</v>
      </c>
      <c r="AA256" s="302">
        <f>K256-Z256</f>
        <v>6615</v>
      </c>
      <c r="AB256" s="309">
        <v>0</v>
      </c>
      <c r="AC256" s="36">
        <v>4</v>
      </c>
      <c r="AD256" s="36" t="s">
        <v>517</v>
      </c>
      <c r="AE256" s="310">
        <v>0</v>
      </c>
      <c r="AF256" s="310">
        <v>0</v>
      </c>
      <c r="AG256" s="310" t="s">
        <v>53</v>
      </c>
      <c r="AH256" s="310" t="s">
        <v>53</v>
      </c>
      <c r="AI256" s="310" t="s">
        <v>53</v>
      </c>
      <c r="AJ256" s="310" t="s">
        <v>54</v>
      </c>
      <c r="AK256" s="297" t="s">
        <v>70</v>
      </c>
      <c r="AL256" s="311"/>
      <c r="AM256" s="311"/>
      <c r="AN256" s="311"/>
      <c r="AO256" s="311"/>
      <c r="AP256" s="311"/>
      <c r="AQ256" s="311"/>
      <c r="AR256" s="311"/>
      <c r="AS256" s="311"/>
      <c r="AT256" s="311"/>
      <c r="AU256" s="311"/>
      <c r="AV256" s="311"/>
      <c r="AW256" s="311"/>
      <c r="AX256" s="312">
        <f t="shared" si="85"/>
        <v>0</v>
      </c>
      <c r="AY256" s="313"/>
      <c r="AZ256" s="313"/>
      <c r="BA256" s="313"/>
      <c r="BB256" s="313"/>
      <c r="BC256" s="313"/>
      <c r="BD256" s="313"/>
      <c r="BE256" s="313"/>
      <c r="BF256" s="313"/>
      <c r="BG256" s="313"/>
      <c r="BH256" s="313">
        <v>266650</v>
      </c>
      <c r="BI256" s="313">
        <v>409610</v>
      </c>
      <c r="BJ256" s="313">
        <v>324873.5</v>
      </c>
      <c r="BK256" s="312">
        <f t="shared" si="86"/>
        <v>1001133.5</v>
      </c>
      <c r="BL256" s="314"/>
      <c r="BM256" s="314"/>
      <c r="BN256" s="314"/>
      <c r="BO256" s="314"/>
      <c r="BP256" s="314"/>
      <c r="BQ256" s="314"/>
      <c r="BR256" s="314"/>
      <c r="BS256" s="314"/>
      <c r="BT256" s="314"/>
      <c r="BU256" s="314"/>
      <c r="BV256" s="314"/>
      <c r="BW256" s="315"/>
      <c r="BX256" s="316">
        <f t="shared" si="87"/>
        <v>0</v>
      </c>
      <c r="BY256" s="314"/>
      <c r="BZ256" s="314"/>
      <c r="CA256" s="314"/>
      <c r="CB256" s="314"/>
      <c r="CC256" s="314"/>
      <c r="CD256" s="314"/>
      <c r="CE256" s="314"/>
      <c r="CF256" s="314"/>
      <c r="CG256" s="314"/>
      <c r="CH256" s="314"/>
      <c r="CI256" s="314"/>
      <c r="CJ256" s="314"/>
      <c r="CK256" s="314">
        <f t="shared" si="88"/>
        <v>0</v>
      </c>
      <c r="CL256" s="317"/>
      <c r="CM256" s="317"/>
      <c r="CN256" s="317"/>
      <c r="CO256" s="317"/>
      <c r="CP256" s="317"/>
      <c r="CQ256" s="317"/>
      <c r="CR256" s="317"/>
      <c r="CS256" s="317"/>
      <c r="CT256" s="317"/>
      <c r="CU256" s="317"/>
      <c r="CV256" s="317"/>
      <c r="CW256" s="317"/>
      <c r="CX256" s="317"/>
      <c r="CY256" s="317"/>
      <c r="CZ256" s="317"/>
      <c r="DA256" s="317"/>
      <c r="DB256" s="317"/>
      <c r="DC256" s="284"/>
      <c r="DD256" s="284"/>
      <c r="DE256" s="284"/>
      <c r="DF256" s="284"/>
      <c r="DG256" s="284"/>
      <c r="DH256" s="284"/>
      <c r="DI256" s="284"/>
      <c r="DJ256" s="284"/>
      <c r="DK256" s="284"/>
      <c r="DL256" s="284"/>
      <c r="DM256" s="284"/>
      <c r="DN256" s="284"/>
      <c r="DO256" s="284">
        <f t="shared" si="42"/>
        <v>0</v>
      </c>
    </row>
    <row r="257" spans="1:119" s="10" customFormat="1" ht="22.5" customHeight="1" x14ac:dyDescent="0.2">
      <c r="A257" s="875" t="s">
        <v>270</v>
      </c>
      <c r="B257" s="876" t="s">
        <v>57</v>
      </c>
      <c r="C257" s="875" t="s">
        <v>271</v>
      </c>
      <c r="D257" s="284" t="s">
        <v>272</v>
      </c>
      <c r="E257" s="284" t="s">
        <v>122</v>
      </c>
      <c r="F257" s="284" t="s">
        <v>49</v>
      </c>
      <c r="G257" s="876" t="s">
        <v>50</v>
      </c>
      <c r="H257" s="876" t="s">
        <v>61</v>
      </c>
      <c r="I257" s="298">
        <v>44316</v>
      </c>
      <c r="J257" s="299">
        <v>44499</v>
      </c>
      <c r="K257" s="318">
        <v>3413273.6</v>
      </c>
      <c r="L257" s="301"/>
      <c r="M257" s="302">
        <f t="shared" si="74"/>
        <v>0</v>
      </c>
      <c r="N257" s="302">
        <f t="shared" si="75"/>
        <v>0</v>
      </c>
      <c r="O257" s="303">
        <f>K257-N257</f>
        <v>3413273.6</v>
      </c>
      <c r="P257" s="304">
        <f t="shared" si="76"/>
        <v>0</v>
      </c>
      <c r="Q257" s="305">
        <f t="shared" si="77"/>
        <v>0</v>
      </c>
      <c r="R257" s="302">
        <f t="shared" si="78"/>
        <v>0</v>
      </c>
      <c r="S257" s="306">
        <f>K257-R257</f>
        <v>3413273.6</v>
      </c>
      <c r="T257" s="307">
        <f t="shared" si="79"/>
        <v>0</v>
      </c>
      <c r="U257" s="302">
        <f t="shared" si="80"/>
        <v>2918649.8325</v>
      </c>
      <c r="V257" s="302">
        <f t="shared" si="81"/>
        <v>2918649.8325</v>
      </c>
      <c r="W257" s="308">
        <f>K257-V257</f>
        <v>494623.76750000007</v>
      </c>
      <c r="X257" s="302">
        <f t="shared" si="82"/>
        <v>2918649.8325</v>
      </c>
      <c r="Y257" s="302">
        <f t="shared" si="83"/>
        <v>0</v>
      </c>
      <c r="Z257" s="302">
        <f t="shared" si="84"/>
        <v>2918649.8325</v>
      </c>
      <c r="AA257" s="302">
        <f>K257-Z257</f>
        <v>494623.76750000007</v>
      </c>
      <c r="AB257" s="309">
        <v>0</v>
      </c>
      <c r="AC257" s="36">
        <v>6</v>
      </c>
      <c r="AD257" s="872" t="s">
        <v>517</v>
      </c>
      <c r="AE257" s="310">
        <v>0</v>
      </c>
      <c r="AF257" s="310">
        <v>0</v>
      </c>
      <c r="AG257" s="310" t="s">
        <v>53</v>
      </c>
      <c r="AH257" s="310" t="s">
        <v>53</v>
      </c>
      <c r="AI257" s="310" t="s">
        <v>53</v>
      </c>
      <c r="AJ257" s="310" t="s">
        <v>54</v>
      </c>
      <c r="AK257" s="869" t="s">
        <v>70</v>
      </c>
      <c r="AL257" s="311"/>
      <c r="AM257" s="311"/>
      <c r="AN257" s="311"/>
      <c r="AO257" s="311"/>
      <c r="AP257" s="311"/>
      <c r="AQ257" s="311"/>
      <c r="AR257" s="311"/>
      <c r="AS257" s="311"/>
      <c r="AT257" s="311"/>
      <c r="AU257" s="311"/>
      <c r="AV257" s="311"/>
      <c r="AW257" s="311"/>
      <c r="AX257" s="312">
        <f t="shared" si="85"/>
        <v>0</v>
      </c>
      <c r="AY257" s="313"/>
      <c r="AZ257" s="313"/>
      <c r="BA257" s="313"/>
      <c r="BB257" s="313"/>
      <c r="BC257" s="313"/>
      <c r="BD257" s="313"/>
      <c r="BE257" s="313"/>
      <c r="BF257" s="313"/>
      <c r="BG257" s="313"/>
      <c r="BH257" s="313"/>
      <c r="BI257" s="313"/>
      <c r="BJ257" s="313"/>
      <c r="BK257" s="312">
        <f t="shared" si="86"/>
        <v>0</v>
      </c>
      <c r="BL257" s="314"/>
      <c r="BM257" s="319">
        <f>1243526.31+619302.6</f>
        <v>1862828.9100000001</v>
      </c>
      <c r="BN257" s="314"/>
      <c r="BO257" s="314"/>
      <c r="BP257" s="314"/>
      <c r="BQ257" s="314"/>
      <c r="BR257" s="314"/>
      <c r="BS257" s="314"/>
      <c r="BT257" s="314">
        <v>1055820.9224999999</v>
      </c>
      <c r="BU257" s="314"/>
      <c r="BV257" s="314"/>
      <c r="BW257" s="315"/>
      <c r="BX257" s="316">
        <f t="shared" si="87"/>
        <v>2918649.8325</v>
      </c>
      <c r="BY257" s="314"/>
      <c r="BZ257" s="314"/>
      <c r="CA257" s="314"/>
      <c r="CB257" s="314"/>
      <c r="CC257" s="314"/>
      <c r="CD257" s="314"/>
      <c r="CE257" s="314"/>
      <c r="CF257" s="314"/>
      <c r="CG257" s="314"/>
      <c r="CH257" s="314"/>
      <c r="CI257" s="314"/>
      <c r="CJ257" s="314"/>
      <c r="CK257" s="314">
        <f t="shared" si="88"/>
        <v>0</v>
      </c>
      <c r="CL257" s="317"/>
      <c r="CM257" s="317"/>
      <c r="CN257" s="317"/>
      <c r="CO257" s="317"/>
      <c r="CP257" s="317"/>
      <c r="CQ257" s="317"/>
      <c r="CR257" s="317"/>
      <c r="CS257" s="317"/>
      <c r="CT257" s="317"/>
      <c r="CU257" s="317"/>
      <c r="CV257" s="317"/>
      <c r="CW257" s="317"/>
      <c r="CX257" s="317"/>
      <c r="CY257" s="317"/>
      <c r="CZ257" s="317"/>
      <c r="DA257" s="317"/>
      <c r="DB257" s="317"/>
      <c r="DC257" s="284"/>
      <c r="DD257" s="284"/>
      <c r="DE257" s="284"/>
      <c r="DF257" s="284"/>
      <c r="DG257" s="284"/>
      <c r="DH257" s="284"/>
      <c r="DI257" s="284"/>
      <c r="DJ257" s="284"/>
      <c r="DK257" s="284"/>
      <c r="DL257" s="284"/>
      <c r="DM257" s="284"/>
      <c r="DN257" s="284"/>
      <c r="DO257" s="284">
        <f t="shared" si="42"/>
        <v>0</v>
      </c>
    </row>
    <row r="258" spans="1:119" s="10" customFormat="1" ht="22.5" customHeight="1" x14ac:dyDescent="0.2">
      <c r="A258" s="875"/>
      <c r="B258" s="876"/>
      <c r="C258" s="875"/>
      <c r="D258" s="284" t="s">
        <v>273</v>
      </c>
      <c r="E258" s="284" t="s">
        <v>226</v>
      </c>
      <c r="F258" s="284" t="s">
        <v>49</v>
      </c>
      <c r="G258" s="876"/>
      <c r="H258" s="876"/>
      <c r="I258" s="298">
        <v>44424</v>
      </c>
      <c r="J258" s="299" t="s">
        <v>1301</v>
      </c>
      <c r="K258" s="318">
        <v>345735</v>
      </c>
      <c r="L258" s="301"/>
      <c r="M258" s="302">
        <f t="shared" si="74"/>
        <v>0</v>
      </c>
      <c r="N258" s="302">
        <f t="shared" si="75"/>
        <v>0</v>
      </c>
      <c r="O258" s="303">
        <f>K258-N258</f>
        <v>345735</v>
      </c>
      <c r="P258" s="304">
        <f t="shared" si="76"/>
        <v>0</v>
      </c>
      <c r="Q258" s="305">
        <f t="shared" si="77"/>
        <v>0</v>
      </c>
      <c r="R258" s="302">
        <f t="shared" si="78"/>
        <v>0</v>
      </c>
      <c r="S258" s="306">
        <f>K258-R258</f>
        <v>345735</v>
      </c>
      <c r="T258" s="307">
        <f t="shared" si="79"/>
        <v>0</v>
      </c>
      <c r="U258" s="302">
        <f t="shared" si="80"/>
        <v>258392.4</v>
      </c>
      <c r="V258" s="302">
        <f t="shared" si="81"/>
        <v>258392.4</v>
      </c>
      <c r="W258" s="308">
        <f>K258-V258</f>
        <v>87342.6</v>
      </c>
      <c r="X258" s="302">
        <f t="shared" si="82"/>
        <v>258392.4</v>
      </c>
      <c r="Y258" s="302">
        <f t="shared" si="83"/>
        <v>0</v>
      </c>
      <c r="Z258" s="302">
        <f t="shared" si="84"/>
        <v>258392.4</v>
      </c>
      <c r="AA258" s="302">
        <f>K258-Z258</f>
        <v>87342.6</v>
      </c>
      <c r="AB258" s="309">
        <v>0</v>
      </c>
      <c r="AC258" s="36">
        <v>2</v>
      </c>
      <c r="AD258" s="873"/>
      <c r="AE258" s="310">
        <v>0</v>
      </c>
      <c r="AF258" s="310">
        <v>0</v>
      </c>
      <c r="AG258" s="310" t="s">
        <v>53</v>
      </c>
      <c r="AH258" s="310" t="s">
        <v>53</v>
      </c>
      <c r="AI258" s="310" t="s">
        <v>53</v>
      </c>
      <c r="AJ258" s="310" t="s">
        <v>54</v>
      </c>
      <c r="AK258" s="870"/>
      <c r="AL258" s="311"/>
      <c r="AM258" s="311"/>
      <c r="AN258" s="311"/>
      <c r="AO258" s="311"/>
      <c r="AP258" s="311"/>
      <c r="AQ258" s="311"/>
      <c r="AR258" s="311"/>
      <c r="AS258" s="311"/>
      <c r="AT258" s="311"/>
      <c r="AU258" s="311"/>
      <c r="AV258" s="311"/>
      <c r="AW258" s="311"/>
      <c r="AX258" s="312">
        <f t="shared" si="85"/>
        <v>0</v>
      </c>
      <c r="AY258" s="313"/>
      <c r="AZ258" s="313"/>
      <c r="BA258" s="313"/>
      <c r="BB258" s="313"/>
      <c r="BC258" s="313"/>
      <c r="BD258" s="313"/>
      <c r="BE258" s="313"/>
      <c r="BF258" s="313"/>
      <c r="BG258" s="313"/>
      <c r="BH258" s="313"/>
      <c r="BI258" s="313"/>
      <c r="BJ258" s="313"/>
      <c r="BK258" s="312">
        <f t="shared" si="86"/>
        <v>0</v>
      </c>
      <c r="BL258" s="314"/>
      <c r="BM258" s="314"/>
      <c r="BN258" s="314"/>
      <c r="BO258" s="314">
        <v>106878</v>
      </c>
      <c r="BP258" s="314">
        <v>80047.5</v>
      </c>
      <c r="BQ258" s="314"/>
      <c r="BR258" s="314">
        <v>71466.899999999994</v>
      </c>
      <c r="BS258" s="314"/>
      <c r="BT258" s="314"/>
      <c r="BU258" s="314"/>
      <c r="BV258" s="314"/>
      <c r="BW258" s="315"/>
      <c r="BX258" s="316">
        <f t="shared" si="87"/>
        <v>258392.4</v>
      </c>
      <c r="BY258" s="314"/>
      <c r="BZ258" s="314"/>
      <c r="CA258" s="314"/>
      <c r="CB258" s="314"/>
      <c r="CC258" s="314"/>
      <c r="CD258" s="314"/>
      <c r="CE258" s="314"/>
      <c r="CF258" s="314"/>
      <c r="CG258" s="314"/>
      <c r="CH258" s="314"/>
      <c r="CI258" s="314"/>
      <c r="CJ258" s="314"/>
      <c r="CK258" s="314">
        <f t="shared" si="88"/>
        <v>0</v>
      </c>
      <c r="CL258" s="317"/>
      <c r="CM258" s="317"/>
      <c r="CN258" s="317"/>
      <c r="CO258" s="317"/>
      <c r="CP258" s="317"/>
      <c r="CQ258" s="317"/>
      <c r="CR258" s="317"/>
      <c r="CS258" s="317"/>
      <c r="CT258" s="317"/>
      <c r="CU258" s="317"/>
      <c r="CV258" s="317"/>
      <c r="CW258" s="317"/>
      <c r="CX258" s="317"/>
      <c r="CY258" s="317"/>
      <c r="CZ258" s="317"/>
      <c r="DA258" s="317"/>
      <c r="DB258" s="317"/>
      <c r="DC258" s="284"/>
      <c r="DD258" s="284"/>
      <c r="DE258" s="284"/>
      <c r="DF258" s="284"/>
      <c r="DG258" s="284"/>
      <c r="DH258" s="284"/>
      <c r="DI258" s="284"/>
      <c r="DJ258" s="284"/>
      <c r="DK258" s="284"/>
      <c r="DL258" s="284"/>
      <c r="DM258" s="284"/>
      <c r="DN258" s="284"/>
      <c r="DO258" s="284">
        <f t="shared" si="42"/>
        <v>0</v>
      </c>
    </row>
    <row r="259" spans="1:119" s="10" customFormat="1" ht="22.5" customHeight="1" x14ac:dyDescent="0.2">
      <c r="A259" s="875"/>
      <c r="B259" s="876"/>
      <c r="C259" s="875"/>
      <c r="D259" s="284" t="s">
        <v>274</v>
      </c>
      <c r="E259" s="284" t="s">
        <v>275</v>
      </c>
      <c r="F259" s="284" t="s">
        <v>49</v>
      </c>
      <c r="G259" s="876"/>
      <c r="H259" s="876"/>
      <c r="I259" s="298">
        <v>43648</v>
      </c>
      <c r="J259" s="299">
        <v>44744</v>
      </c>
      <c r="K259" s="320" t="s">
        <v>276</v>
      </c>
      <c r="L259" s="301"/>
      <c r="M259" s="302">
        <f t="shared" si="74"/>
        <v>0</v>
      </c>
      <c r="N259" s="302">
        <f t="shared" si="75"/>
        <v>0</v>
      </c>
      <c r="O259" s="303"/>
      <c r="P259" s="304">
        <f t="shared" si="76"/>
        <v>0</v>
      </c>
      <c r="Q259" s="305">
        <f t="shared" si="77"/>
        <v>250000.00649999999</v>
      </c>
      <c r="R259" s="302">
        <f t="shared" si="78"/>
        <v>250000.00649999999</v>
      </c>
      <c r="S259" s="306"/>
      <c r="T259" s="307">
        <f t="shared" si="79"/>
        <v>250000.00649999999</v>
      </c>
      <c r="U259" s="302">
        <f t="shared" si="80"/>
        <v>249542.75149999995</v>
      </c>
      <c r="V259" s="302">
        <f t="shared" si="81"/>
        <v>499542.75799999991</v>
      </c>
      <c r="W259" s="308"/>
      <c r="X259" s="302">
        <f t="shared" si="82"/>
        <v>499542.75799999991</v>
      </c>
      <c r="Y259" s="302">
        <f t="shared" si="83"/>
        <v>0</v>
      </c>
      <c r="Z259" s="302">
        <f t="shared" si="84"/>
        <v>499542.75799999991</v>
      </c>
      <c r="AA259" s="302"/>
      <c r="AB259" s="309">
        <v>0</v>
      </c>
      <c r="AC259" s="36">
        <v>36</v>
      </c>
      <c r="AD259" s="874"/>
      <c r="AE259" s="310">
        <v>0</v>
      </c>
      <c r="AF259" s="310">
        <v>0</v>
      </c>
      <c r="AG259" s="310" t="s">
        <v>53</v>
      </c>
      <c r="AH259" s="310" t="s">
        <v>53</v>
      </c>
      <c r="AI259" s="310" t="s">
        <v>53</v>
      </c>
      <c r="AJ259" s="310" t="s">
        <v>54</v>
      </c>
      <c r="AK259" s="871"/>
      <c r="AL259" s="311"/>
      <c r="AM259" s="311"/>
      <c r="AN259" s="311"/>
      <c r="AO259" s="311"/>
      <c r="AP259" s="311"/>
      <c r="AQ259" s="311"/>
      <c r="AR259" s="311"/>
      <c r="AS259" s="311"/>
      <c r="AT259" s="311"/>
      <c r="AU259" s="311"/>
      <c r="AV259" s="311"/>
      <c r="AW259" s="311"/>
      <c r="AX259" s="312">
        <f t="shared" si="85"/>
        <v>0</v>
      </c>
      <c r="AY259" s="313"/>
      <c r="AZ259" s="313"/>
      <c r="BA259" s="313"/>
      <c r="BB259" s="313">
        <v>250000.00649999999</v>
      </c>
      <c r="BC259" s="313"/>
      <c r="BD259" s="313"/>
      <c r="BE259" s="313"/>
      <c r="BF259" s="313"/>
      <c r="BG259" s="313"/>
      <c r="BH259" s="313"/>
      <c r="BI259" s="313"/>
      <c r="BJ259" s="313"/>
      <c r="BK259" s="312">
        <f t="shared" si="86"/>
        <v>250000.00649999999</v>
      </c>
      <c r="BL259" s="314"/>
      <c r="BM259" s="314">
        <v>214345.75149999995</v>
      </c>
      <c r="BN259" s="314"/>
      <c r="BO259" s="284"/>
      <c r="BP259" s="314"/>
      <c r="BQ259" s="314"/>
      <c r="BR259" s="314"/>
      <c r="BS259" s="314">
        <v>35197</v>
      </c>
      <c r="BT259" s="314"/>
      <c r="BU259" s="314"/>
      <c r="BV259" s="314"/>
      <c r="BW259" s="315"/>
      <c r="BX259" s="316">
        <f t="shared" si="87"/>
        <v>249542.75149999995</v>
      </c>
      <c r="BY259" s="286"/>
      <c r="BZ259" s="314"/>
      <c r="CA259" s="314"/>
      <c r="CB259" s="314"/>
      <c r="CC259" s="314"/>
      <c r="CD259" s="314"/>
      <c r="CE259" s="314"/>
      <c r="CF259" s="314"/>
      <c r="CG259" s="314"/>
      <c r="CH259" s="314"/>
      <c r="CI259" s="314"/>
      <c r="CJ259" s="314"/>
      <c r="CK259" s="314">
        <f t="shared" si="88"/>
        <v>0</v>
      </c>
      <c r="CL259" s="317"/>
      <c r="CM259" s="317"/>
      <c r="CN259" s="317"/>
      <c r="CO259" s="317"/>
      <c r="CP259" s="317"/>
      <c r="CQ259" s="317"/>
      <c r="CR259" s="317"/>
      <c r="CS259" s="317"/>
      <c r="CT259" s="317"/>
      <c r="CU259" s="317"/>
      <c r="CV259" s="317"/>
      <c r="CW259" s="317"/>
      <c r="CX259" s="317"/>
      <c r="CY259" s="317"/>
      <c r="CZ259" s="317"/>
      <c r="DA259" s="317"/>
      <c r="DB259" s="317"/>
      <c r="DC259" s="284"/>
      <c r="DD259" s="284"/>
      <c r="DE259" s="284"/>
      <c r="DF259" s="284"/>
      <c r="DG259" s="284"/>
      <c r="DH259" s="284"/>
      <c r="DI259" s="284"/>
      <c r="DJ259" s="284"/>
      <c r="DK259" s="284"/>
      <c r="DL259" s="284"/>
      <c r="DM259" s="284"/>
      <c r="DN259" s="284"/>
      <c r="DO259" s="284">
        <f t="shared" ref="DO259:DO308" si="90">SUM(DC259:DN259)</f>
        <v>0</v>
      </c>
    </row>
    <row r="260" spans="1:119" ht="25.9" customHeight="1" x14ac:dyDescent="0.25">
      <c r="A260" s="775" t="s">
        <v>1403</v>
      </c>
      <c r="B260" s="860" t="s">
        <v>57</v>
      </c>
      <c r="C260" s="859" t="s">
        <v>281</v>
      </c>
      <c r="D260" s="321" t="s">
        <v>282</v>
      </c>
      <c r="E260" s="321" t="s">
        <v>283</v>
      </c>
      <c r="F260" s="284" t="s">
        <v>49</v>
      </c>
      <c r="G260" s="859" t="s">
        <v>284</v>
      </c>
      <c r="H260" s="859" t="s">
        <v>61</v>
      </c>
      <c r="I260" s="322">
        <v>44396</v>
      </c>
      <c r="J260" s="322">
        <v>44761</v>
      </c>
      <c r="K260" s="318">
        <v>1689632.97</v>
      </c>
      <c r="L260" s="323"/>
      <c r="M260" s="302">
        <f t="shared" si="74"/>
        <v>0</v>
      </c>
      <c r="N260" s="302">
        <f t="shared" si="75"/>
        <v>0</v>
      </c>
      <c r="O260" s="303">
        <f>K260-N260</f>
        <v>1689632.97</v>
      </c>
      <c r="P260" s="304">
        <f t="shared" si="76"/>
        <v>0</v>
      </c>
      <c r="Q260" s="305">
        <f t="shared" si="77"/>
        <v>0</v>
      </c>
      <c r="R260" s="302">
        <f t="shared" si="78"/>
        <v>0</v>
      </c>
      <c r="S260" s="306">
        <f>K260-R260</f>
        <v>1689632.97</v>
      </c>
      <c r="T260" s="307">
        <f t="shared" si="79"/>
        <v>0</v>
      </c>
      <c r="U260" s="302">
        <f t="shared" si="80"/>
        <v>1724680.3975</v>
      </c>
      <c r="V260" s="302">
        <f t="shared" si="81"/>
        <v>1724680.3975</v>
      </c>
      <c r="W260" s="308">
        <f>K260-V260</f>
        <v>-35047.427499999991</v>
      </c>
      <c r="X260" s="302">
        <f t="shared" si="82"/>
        <v>1724680.3975</v>
      </c>
      <c r="Y260" s="302">
        <f t="shared" si="83"/>
        <v>0</v>
      </c>
      <c r="Z260" s="302">
        <f t="shared" si="84"/>
        <v>1724680.3975</v>
      </c>
      <c r="AA260" s="302">
        <f>K260-Z260</f>
        <v>-35047.427499999991</v>
      </c>
      <c r="AB260" s="309">
        <v>0</v>
      </c>
      <c r="AC260" s="36">
        <v>12</v>
      </c>
      <c r="AD260" s="863" t="s">
        <v>517</v>
      </c>
      <c r="AE260" s="310">
        <v>0</v>
      </c>
      <c r="AF260" s="310">
        <v>0</v>
      </c>
      <c r="AG260" s="310" t="s">
        <v>53</v>
      </c>
      <c r="AH260" s="310" t="s">
        <v>53</v>
      </c>
      <c r="AI260" s="310" t="s">
        <v>53</v>
      </c>
      <c r="AJ260" s="310" t="s">
        <v>54</v>
      </c>
      <c r="AK260" s="877" t="s">
        <v>70</v>
      </c>
      <c r="AL260" s="324"/>
      <c r="AM260" s="324"/>
      <c r="AN260" s="324"/>
      <c r="AO260" s="324"/>
      <c r="AP260" s="324"/>
      <c r="AQ260" s="324"/>
      <c r="AR260" s="324"/>
      <c r="AS260" s="324"/>
      <c r="AT260" s="324"/>
      <c r="AU260" s="324"/>
      <c r="AV260" s="324"/>
      <c r="AW260" s="324"/>
      <c r="AX260" s="312">
        <f t="shared" si="85"/>
        <v>0</v>
      </c>
      <c r="AY260" s="324"/>
      <c r="AZ260" s="324"/>
      <c r="BA260" s="324"/>
      <c r="BB260" s="324"/>
      <c r="BC260" s="324"/>
      <c r="BD260" s="324"/>
      <c r="BE260" s="324"/>
      <c r="BF260" s="324"/>
      <c r="BG260" s="324"/>
      <c r="BH260" s="324"/>
      <c r="BI260" s="324"/>
      <c r="BJ260" s="324"/>
      <c r="BK260" s="312">
        <f t="shared" si="86"/>
        <v>0</v>
      </c>
      <c r="BL260" s="325"/>
      <c r="BM260" s="325"/>
      <c r="BN260" s="319">
        <f>189607.86+449517.58+164876.4</f>
        <v>804001.84</v>
      </c>
      <c r="BO260" s="325">
        <v>398295.73799999995</v>
      </c>
      <c r="BP260" s="325"/>
      <c r="BQ260" s="325">
        <v>297613.42199999996</v>
      </c>
      <c r="BR260" s="325"/>
      <c r="BS260" s="325">
        <v>224769.39749999996</v>
      </c>
      <c r="BT260" s="325"/>
      <c r="BU260" s="325"/>
      <c r="BV260" s="325"/>
      <c r="BW260" s="326"/>
      <c r="BX260" s="316">
        <f t="shared" si="87"/>
        <v>1724680.3975</v>
      </c>
      <c r="BY260" s="325"/>
      <c r="BZ260" s="325"/>
      <c r="CA260" s="325"/>
      <c r="CB260" s="325"/>
      <c r="CC260" s="325"/>
      <c r="CD260" s="325"/>
      <c r="CE260" s="325"/>
      <c r="CF260" s="325"/>
      <c r="CG260" s="325"/>
      <c r="CH260" s="325"/>
      <c r="CI260" s="325"/>
      <c r="CJ260" s="325"/>
      <c r="CK260" s="314">
        <f t="shared" si="88"/>
        <v>0</v>
      </c>
      <c r="DC260" s="518"/>
      <c r="DD260" s="518"/>
      <c r="DE260" s="518"/>
      <c r="DF260" s="518"/>
      <c r="DG260" s="518"/>
      <c r="DH260" s="518"/>
      <c r="DI260" s="518"/>
      <c r="DJ260" s="518"/>
      <c r="DK260" s="518"/>
      <c r="DL260" s="518"/>
      <c r="DM260" s="518"/>
      <c r="DN260" s="518"/>
      <c r="DO260" s="518">
        <f t="shared" si="90"/>
        <v>0</v>
      </c>
    </row>
    <row r="261" spans="1:119" ht="25.9" customHeight="1" x14ac:dyDescent="0.25">
      <c r="A261" s="775"/>
      <c r="B261" s="860"/>
      <c r="C261" s="859"/>
      <c r="D261" s="284" t="s">
        <v>78</v>
      </c>
      <c r="E261" s="284" t="s">
        <v>79</v>
      </c>
      <c r="F261" s="284" t="s">
        <v>49</v>
      </c>
      <c r="G261" s="859"/>
      <c r="H261" s="859"/>
      <c r="I261" s="298">
        <v>42361</v>
      </c>
      <c r="J261" s="322">
        <v>42727</v>
      </c>
      <c r="K261" s="318">
        <v>485100</v>
      </c>
      <c r="L261" s="323"/>
      <c r="M261" s="302">
        <f t="shared" si="74"/>
        <v>0</v>
      </c>
      <c r="N261" s="302">
        <f t="shared" si="75"/>
        <v>0</v>
      </c>
      <c r="O261" s="303">
        <f>K261-N261</f>
        <v>485100</v>
      </c>
      <c r="P261" s="304">
        <f t="shared" si="76"/>
        <v>0</v>
      </c>
      <c r="Q261" s="305">
        <f t="shared" si="77"/>
        <v>0</v>
      </c>
      <c r="R261" s="302">
        <f t="shared" si="78"/>
        <v>0</v>
      </c>
      <c r="S261" s="306">
        <f>K261-R261</f>
        <v>485100</v>
      </c>
      <c r="T261" s="307">
        <f t="shared" si="79"/>
        <v>0</v>
      </c>
      <c r="U261" s="302">
        <f t="shared" si="80"/>
        <v>0</v>
      </c>
      <c r="V261" s="302">
        <f t="shared" si="81"/>
        <v>0</v>
      </c>
      <c r="W261" s="308">
        <f>K261-V261</f>
        <v>485100</v>
      </c>
      <c r="X261" s="302">
        <f t="shared" si="82"/>
        <v>0</v>
      </c>
      <c r="Y261" s="302">
        <f t="shared" si="83"/>
        <v>0</v>
      </c>
      <c r="Z261" s="302">
        <f t="shared" si="84"/>
        <v>0</v>
      </c>
      <c r="AA261" s="302">
        <f>K261-Z261</f>
        <v>485100</v>
      </c>
      <c r="AB261" s="309">
        <v>0</v>
      </c>
      <c r="AC261" s="36">
        <v>12</v>
      </c>
      <c r="AD261" s="865"/>
      <c r="AE261" s="310">
        <v>0</v>
      </c>
      <c r="AF261" s="310">
        <v>0</v>
      </c>
      <c r="AG261" s="310" t="s">
        <v>53</v>
      </c>
      <c r="AH261" s="310" t="s">
        <v>53</v>
      </c>
      <c r="AI261" s="310" t="s">
        <v>53</v>
      </c>
      <c r="AJ261" s="310" t="s">
        <v>54</v>
      </c>
      <c r="AK261" s="878"/>
      <c r="AL261" s="324"/>
      <c r="AM261" s="324"/>
      <c r="AN261" s="324"/>
      <c r="AO261" s="324"/>
      <c r="AP261" s="324"/>
      <c r="AQ261" s="324"/>
      <c r="AR261" s="324"/>
      <c r="AS261" s="324"/>
      <c r="AT261" s="324"/>
      <c r="AU261" s="324"/>
      <c r="AV261" s="324"/>
      <c r="AW261" s="324"/>
      <c r="AX261" s="312">
        <f t="shared" si="85"/>
        <v>0</v>
      </c>
      <c r="AY261" s="324"/>
      <c r="AZ261" s="324"/>
      <c r="BA261" s="324"/>
      <c r="BB261" s="324"/>
      <c r="BC261" s="324"/>
      <c r="BD261" s="324"/>
      <c r="BE261" s="324"/>
      <c r="BF261" s="324"/>
      <c r="BG261" s="324"/>
      <c r="BH261" s="324"/>
      <c r="BI261" s="324"/>
      <c r="BJ261" s="324"/>
      <c r="BK261" s="312">
        <f t="shared" si="86"/>
        <v>0</v>
      </c>
      <c r="BL261" s="325"/>
      <c r="BM261" s="325"/>
      <c r="BN261" s="325"/>
      <c r="BO261" s="325"/>
      <c r="BP261" s="325"/>
      <c r="BQ261" s="325"/>
      <c r="BR261" s="325"/>
      <c r="BS261" s="325"/>
      <c r="BT261" s="325"/>
      <c r="BU261" s="325"/>
      <c r="BV261" s="325"/>
      <c r="BW261" s="326"/>
      <c r="BX261" s="316">
        <f t="shared" si="87"/>
        <v>0</v>
      </c>
      <c r="BY261" s="325"/>
      <c r="BZ261" s="325"/>
      <c r="CA261" s="325"/>
      <c r="CB261" s="325"/>
      <c r="CC261" s="325"/>
      <c r="CD261" s="325"/>
      <c r="CE261" s="325"/>
      <c r="CF261" s="325"/>
      <c r="CG261" s="325"/>
      <c r="CH261" s="325"/>
      <c r="CI261" s="325"/>
      <c r="CJ261" s="325"/>
      <c r="CK261" s="314">
        <f t="shared" si="88"/>
        <v>0</v>
      </c>
      <c r="DC261" s="518"/>
      <c r="DD261" s="518"/>
      <c r="DE261" s="518"/>
      <c r="DF261" s="518"/>
      <c r="DG261" s="518"/>
      <c r="DH261" s="518"/>
      <c r="DI261" s="518"/>
      <c r="DJ261" s="518"/>
      <c r="DK261" s="518"/>
      <c r="DL261" s="518"/>
      <c r="DM261" s="518"/>
      <c r="DN261" s="518"/>
      <c r="DO261" s="518">
        <f t="shared" si="90"/>
        <v>0</v>
      </c>
    </row>
    <row r="262" spans="1:119" ht="25.9" customHeight="1" x14ac:dyDescent="0.25">
      <c r="A262" s="879" t="s">
        <v>117</v>
      </c>
      <c r="B262" s="866" t="s">
        <v>57</v>
      </c>
      <c r="C262" s="863" t="s">
        <v>306</v>
      </c>
      <c r="D262" s="205" t="s">
        <v>135</v>
      </c>
      <c r="E262" s="20" t="s">
        <v>136</v>
      </c>
      <c r="F262" s="4" t="s">
        <v>49</v>
      </c>
      <c r="G262" s="44" t="s">
        <v>284</v>
      </c>
      <c r="H262" s="44" t="s">
        <v>61</v>
      </c>
      <c r="I262" s="266">
        <v>43650</v>
      </c>
      <c r="J262" s="270">
        <v>44746</v>
      </c>
      <c r="K262" s="272" t="s">
        <v>290</v>
      </c>
      <c r="L262" s="150"/>
      <c r="M262" s="18">
        <f t="shared" si="74"/>
        <v>0</v>
      </c>
      <c r="N262" s="18">
        <f t="shared" si="75"/>
        <v>0</v>
      </c>
      <c r="O262" s="149"/>
      <c r="P262" s="154"/>
      <c r="Q262" s="66">
        <f t="shared" si="77"/>
        <v>0</v>
      </c>
      <c r="R262" s="18">
        <f t="shared" si="78"/>
        <v>0</v>
      </c>
      <c r="S262" s="156"/>
      <c r="T262" s="160">
        <f t="shared" si="79"/>
        <v>0</v>
      </c>
      <c r="U262" s="18">
        <f t="shared" si="80"/>
        <v>0</v>
      </c>
      <c r="V262" s="18">
        <f t="shared" si="81"/>
        <v>0</v>
      </c>
      <c r="W262" s="216"/>
      <c r="X262" s="18">
        <f t="shared" si="82"/>
        <v>0</v>
      </c>
      <c r="Y262" s="18">
        <f t="shared" si="83"/>
        <v>0</v>
      </c>
      <c r="Z262" s="18">
        <f t="shared" si="84"/>
        <v>0</v>
      </c>
      <c r="AA262" s="18"/>
      <c r="AB262" s="158">
        <v>0</v>
      </c>
      <c r="AC262" s="46">
        <v>36</v>
      </c>
      <c r="AD262" s="44" t="s">
        <v>517</v>
      </c>
      <c r="AE262" s="69">
        <v>0</v>
      </c>
      <c r="AF262" s="69">
        <v>0</v>
      </c>
      <c r="AG262" s="69" t="s">
        <v>53</v>
      </c>
      <c r="AH262" s="69" t="s">
        <v>53</v>
      </c>
      <c r="AI262" s="69" t="s">
        <v>53</v>
      </c>
      <c r="AJ262" s="69" t="s">
        <v>54</v>
      </c>
      <c r="AK262" s="877" t="s">
        <v>70</v>
      </c>
      <c r="AL262" s="11"/>
      <c r="AM262" s="11"/>
      <c r="AN262" s="11"/>
      <c r="AO262" s="11"/>
      <c r="AP262" s="11"/>
      <c r="AQ262" s="11"/>
      <c r="AR262" s="11"/>
      <c r="AS262" s="11"/>
      <c r="AT262" s="11"/>
      <c r="AU262" s="11"/>
      <c r="AV262" s="11"/>
      <c r="AW262" s="11"/>
      <c r="AX262" s="85"/>
      <c r="AY262" s="11"/>
      <c r="AZ262" s="11"/>
      <c r="BA262" s="11"/>
      <c r="BB262" s="11"/>
      <c r="BC262" s="11"/>
      <c r="BD262" s="11"/>
      <c r="BE262" s="11"/>
      <c r="BF262" s="11"/>
      <c r="BG262" s="11"/>
      <c r="BH262" s="11"/>
      <c r="BI262" s="11"/>
      <c r="BJ262" s="11"/>
      <c r="BK262" s="85"/>
      <c r="BL262" s="40"/>
      <c r="BM262" s="40">
        <v>341316.94099999999</v>
      </c>
      <c r="BN262" s="40"/>
      <c r="BO262" s="40"/>
      <c r="BP262" s="40"/>
      <c r="BQ262" s="40"/>
      <c r="BR262" s="40"/>
      <c r="BS262" s="40"/>
      <c r="BT262" s="40"/>
      <c r="BU262" s="40"/>
      <c r="BV262" s="40"/>
      <c r="BW262" s="54"/>
      <c r="BX262" s="87"/>
      <c r="BY262" s="228"/>
      <c r="BZ262" s="228"/>
      <c r="CA262" s="228"/>
      <c r="CB262" s="228"/>
      <c r="CC262" s="228"/>
      <c r="CD262" s="228"/>
      <c r="CE262" s="228"/>
      <c r="CF262" s="228"/>
      <c r="CG262" s="228"/>
      <c r="CH262" s="228"/>
      <c r="CI262" s="228"/>
      <c r="CJ262" s="228"/>
      <c r="CK262" s="112">
        <f t="shared" si="88"/>
        <v>0</v>
      </c>
      <c r="DC262" s="518"/>
      <c r="DD262" s="518"/>
      <c r="DE262" s="518"/>
      <c r="DF262" s="518"/>
      <c r="DG262" s="518"/>
      <c r="DH262" s="518"/>
      <c r="DI262" s="518"/>
      <c r="DJ262" s="518"/>
      <c r="DK262" s="518"/>
      <c r="DL262" s="518"/>
      <c r="DM262" s="518"/>
      <c r="DN262" s="518"/>
      <c r="DO262" s="518">
        <f t="shared" si="90"/>
        <v>0</v>
      </c>
    </row>
    <row r="263" spans="1:119" ht="25.9" customHeight="1" x14ac:dyDescent="0.25">
      <c r="A263" s="880"/>
      <c r="B263" s="868"/>
      <c r="C263" s="865"/>
      <c r="D263" s="205" t="s">
        <v>307</v>
      </c>
      <c r="E263" s="20" t="s">
        <v>308</v>
      </c>
      <c r="F263" s="4" t="s">
        <v>49</v>
      </c>
      <c r="G263" s="44" t="s">
        <v>284</v>
      </c>
      <c r="H263" s="44" t="s">
        <v>61</v>
      </c>
      <c r="I263" s="203">
        <v>44461</v>
      </c>
      <c r="J263" s="24">
        <v>44826</v>
      </c>
      <c r="K263" s="204">
        <v>2373375</v>
      </c>
      <c r="L263" s="150"/>
      <c r="M263" s="18">
        <f t="shared" si="74"/>
        <v>0</v>
      </c>
      <c r="N263" s="18">
        <f t="shared" si="75"/>
        <v>0</v>
      </c>
      <c r="O263" s="149">
        <f>K263-N263</f>
        <v>2373375</v>
      </c>
      <c r="P263" s="154">
        <f>N263</f>
        <v>0</v>
      </c>
      <c r="Q263" s="66">
        <f t="shared" si="77"/>
        <v>0</v>
      </c>
      <c r="R263" s="18">
        <f t="shared" si="78"/>
        <v>0</v>
      </c>
      <c r="S263" s="156">
        <f>K263-R263</f>
        <v>2373375</v>
      </c>
      <c r="T263" s="160">
        <f t="shared" si="79"/>
        <v>0</v>
      </c>
      <c r="U263" s="18">
        <f t="shared" si="80"/>
        <v>2872832.25</v>
      </c>
      <c r="V263" s="18">
        <f t="shared" si="81"/>
        <v>2872832.25</v>
      </c>
      <c r="W263" s="216">
        <f>K263-V263</f>
        <v>-499457.25</v>
      </c>
      <c r="X263" s="18">
        <f t="shared" si="82"/>
        <v>2872832.25</v>
      </c>
      <c r="Y263" s="18">
        <f t="shared" si="83"/>
        <v>0</v>
      </c>
      <c r="Z263" s="18">
        <f t="shared" si="84"/>
        <v>2872832.25</v>
      </c>
      <c r="AA263" s="18">
        <f>K263-Z263</f>
        <v>-499457.25</v>
      </c>
      <c r="AB263" s="158">
        <v>0</v>
      </c>
      <c r="AC263" s="46">
        <v>12</v>
      </c>
      <c r="AD263" s="44" t="s">
        <v>1304</v>
      </c>
      <c r="AE263" s="69">
        <v>0</v>
      </c>
      <c r="AF263" s="69">
        <v>0</v>
      </c>
      <c r="AG263" s="69" t="s">
        <v>53</v>
      </c>
      <c r="AH263" s="69" t="s">
        <v>53</v>
      </c>
      <c r="AI263" s="69" t="s">
        <v>53</v>
      </c>
      <c r="AJ263" s="69" t="s">
        <v>54</v>
      </c>
      <c r="AK263" s="878"/>
      <c r="AL263" s="11"/>
      <c r="AM263" s="11"/>
      <c r="AN263" s="11"/>
      <c r="AO263" s="11"/>
      <c r="AP263" s="11"/>
      <c r="AQ263" s="11"/>
      <c r="AR263" s="11"/>
      <c r="AS263" s="11"/>
      <c r="AT263" s="11"/>
      <c r="AU263" s="11"/>
      <c r="AV263" s="11"/>
      <c r="AW263" s="11"/>
      <c r="AX263" s="85">
        <f>SUM(AL263:AW263)</f>
        <v>0</v>
      </c>
      <c r="AY263" s="11"/>
      <c r="AZ263" s="11"/>
      <c r="BA263" s="11"/>
      <c r="BB263" s="11"/>
      <c r="BC263" s="11"/>
      <c r="BD263" s="11"/>
      <c r="BE263" s="11"/>
      <c r="BF263" s="11"/>
      <c r="BG263" s="11"/>
      <c r="BH263" s="11"/>
      <c r="BI263" s="11"/>
      <c r="BJ263" s="11"/>
      <c r="BK263" s="85">
        <f>SUM(AY263:BJ263)</f>
        <v>0</v>
      </c>
      <c r="BL263" s="40"/>
      <c r="BM263" s="40"/>
      <c r="BN263" s="40"/>
      <c r="BO263" s="40"/>
      <c r="BP263" s="40"/>
      <c r="BQ263" s="40">
        <v>824247</v>
      </c>
      <c r="BR263" s="40">
        <v>222975</v>
      </c>
      <c r="BS263" s="281">
        <f>397251+130293.75</f>
        <v>527544.75</v>
      </c>
      <c r="BT263" s="40">
        <v>397251</v>
      </c>
      <c r="BU263" s="40"/>
      <c r="BV263" s="40"/>
      <c r="BW263" s="54">
        <v>900814.5</v>
      </c>
      <c r="BX263" s="87">
        <f>SUM(BL263:BW263)</f>
        <v>2872832.25</v>
      </c>
      <c r="BY263" s="112"/>
      <c r="BZ263" s="112"/>
      <c r="CA263" s="112"/>
      <c r="CB263" s="112"/>
      <c r="CC263" s="112"/>
      <c r="CD263" s="112"/>
      <c r="CE263" s="112"/>
      <c r="CF263" s="112"/>
      <c r="CG263" s="112"/>
      <c r="CH263" s="112"/>
      <c r="CI263" s="112"/>
      <c r="CJ263" s="112"/>
      <c r="CK263" s="112">
        <f t="shared" si="88"/>
        <v>0</v>
      </c>
      <c r="DC263" s="518"/>
      <c r="DD263" s="518"/>
      <c r="DE263" s="518"/>
      <c r="DF263" s="518"/>
      <c r="DG263" s="518"/>
      <c r="DH263" s="518"/>
      <c r="DI263" s="518"/>
      <c r="DJ263" s="518"/>
      <c r="DK263" s="518"/>
      <c r="DL263" s="518"/>
      <c r="DM263" s="518"/>
      <c r="DN263" s="518"/>
      <c r="DO263" s="518">
        <f t="shared" si="90"/>
        <v>0</v>
      </c>
    </row>
    <row r="264" spans="1:119" s="10" customFormat="1" ht="32.25" customHeight="1" x14ac:dyDescent="0.2">
      <c r="A264" s="859" t="s">
        <v>174</v>
      </c>
      <c r="B264" s="860" t="s">
        <v>57</v>
      </c>
      <c r="C264" s="859" t="s">
        <v>175</v>
      </c>
      <c r="D264" s="239" t="s">
        <v>176</v>
      </c>
      <c r="E264" s="4" t="s">
        <v>177</v>
      </c>
      <c r="F264" s="4" t="s">
        <v>49</v>
      </c>
      <c r="G264" s="860" t="s">
        <v>50</v>
      </c>
      <c r="H264" s="860" t="s">
        <v>61</v>
      </c>
      <c r="I264" s="266">
        <v>43956</v>
      </c>
      <c r="J264" s="58">
        <v>44079</v>
      </c>
      <c r="K264" s="204">
        <v>1568644</v>
      </c>
      <c r="L264" s="148"/>
      <c r="M264" s="18">
        <f t="shared" si="74"/>
        <v>692436</v>
      </c>
      <c r="N264" s="18">
        <f t="shared" si="75"/>
        <v>692436</v>
      </c>
      <c r="O264" s="149">
        <f>K264-N264</f>
        <v>876208</v>
      </c>
      <c r="P264" s="154">
        <f>N264</f>
        <v>692436</v>
      </c>
      <c r="Q264" s="66">
        <f t="shared" si="77"/>
        <v>1534620.8</v>
      </c>
      <c r="R264" s="18">
        <f t="shared" si="78"/>
        <v>2227056.7999999998</v>
      </c>
      <c r="S264" s="156">
        <f>K264-R264</f>
        <v>-658412.79999999981</v>
      </c>
      <c r="T264" s="160">
        <f t="shared" si="79"/>
        <v>2227056.7999999998</v>
      </c>
      <c r="U264" s="18">
        <f t="shared" si="80"/>
        <v>78432.2</v>
      </c>
      <c r="V264" s="18">
        <f t="shared" si="81"/>
        <v>2305489</v>
      </c>
      <c r="W264" s="216">
        <f>K264-V264</f>
        <v>-736845</v>
      </c>
      <c r="X264" s="246">
        <f t="shared" si="82"/>
        <v>2305489</v>
      </c>
      <c r="Y264" s="18">
        <f t="shared" si="83"/>
        <v>0</v>
      </c>
      <c r="Z264" s="18">
        <f t="shared" si="84"/>
        <v>2305489</v>
      </c>
      <c r="AA264" s="18">
        <f>K264-Z264</f>
        <v>-736845</v>
      </c>
      <c r="AB264" s="158">
        <v>0</v>
      </c>
      <c r="AC264" s="44">
        <v>4</v>
      </c>
      <c r="AD264" s="863" t="s">
        <v>517</v>
      </c>
      <c r="AE264" s="69">
        <v>0</v>
      </c>
      <c r="AF264" s="69">
        <v>0</v>
      </c>
      <c r="AG264" s="69" t="s">
        <v>53</v>
      </c>
      <c r="AH264" s="69" t="s">
        <v>53</v>
      </c>
      <c r="AI264" s="69" t="s">
        <v>53</v>
      </c>
      <c r="AJ264" s="69" t="s">
        <v>54</v>
      </c>
      <c r="AK264" s="866" t="s">
        <v>70</v>
      </c>
      <c r="AL264" s="7"/>
      <c r="AM264" s="7"/>
      <c r="AN264" s="7"/>
      <c r="AO264" s="7"/>
      <c r="AP264" s="7"/>
      <c r="AQ264" s="7"/>
      <c r="AR264" s="7"/>
      <c r="AS264" s="7"/>
      <c r="AT264" s="7"/>
      <c r="AU264" s="7"/>
      <c r="AV264" s="7"/>
      <c r="AW264" s="7">
        <f>511068+181368</f>
        <v>692436</v>
      </c>
      <c r="AX264" s="85">
        <f>SUM(AL264:AW264)</f>
        <v>692436</v>
      </c>
      <c r="AY264" s="9">
        <v>377379.2</v>
      </c>
      <c r="AZ264" s="9"/>
      <c r="BA264" s="9">
        <f>185100+156864.4+78432.2</f>
        <v>420396.60000000003</v>
      </c>
      <c r="BB264" s="9"/>
      <c r="BC264" s="9"/>
      <c r="BD264" s="9"/>
      <c r="BE264" s="9">
        <v>467590.03</v>
      </c>
      <c r="BF264" s="9"/>
      <c r="BG264" s="9">
        <v>269254.96999999997</v>
      </c>
      <c r="BH264" s="9"/>
      <c r="BI264" s="9"/>
      <c r="BJ264" s="9"/>
      <c r="BK264" s="85">
        <f>SUM(AY264:BJ264)</f>
        <v>1534620.8</v>
      </c>
      <c r="BL264" s="39"/>
      <c r="BM264" s="39"/>
      <c r="BN264" s="39"/>
      <c r="BO264" s="39"/>
      <c r="BP264" s="39"/>
      <c r="BQ264" s="39"/>
      <c r="BR264" s="39"/>
      <c r="BS264" s="39"/>
      <c r="BT264" s="39">
        <v>78432.2</v>
      </c>
      <c r="BU264" s="39"/>
      <c r="BV264" s="39"/>
      <c r="BW264" s="52"/>
      <c r="BX264" s="87">
        <f>SUM(BL264:BW264)</f>
        <v>78432.2</v>
      </c>
      <c r="BY264" s="112"/>
      <c r="BZ264" s="112"/>
      <c r="CA264" s="112"/>
      <c r="CB264" s="112"/>
      <c r="CC264" s="112"/>
      <c r="CD264" s="112"/>
      <c r="CE264" s="112"/>
      <c r="CF264" s="112"/>
      <c r="CG264" s="112"/>
      <c r="CH264" s="112"/>
      <c r="CI264" s="112"/>
      <c r="CJ264" s="112"/>
      <c r="CK264" s="112">
        <f t="shared" si="88"/>
        <v>0</v>
      </c>
      <c r="DC264" s="4"/>
      <c r="DD264" s="4"/>
      <c r="DE264" s="4"/>
      <c r="DF264" s="4"/>
      <c r="DG264" s="4"/>
      <c r="DH264" s="4"/>
      <c r="DI264" s="4"/>
      <c r="DJ264" s="4"/>
      <c r="DK264" s="4"/>
      <c r="DL264" s="4"/>
      <c r="DM264" s="4"/>
      <c r="DN264" s="4"/>
      <c r="DO264" s="4">
        <f t="shared" si="90"/>
        <v>0</v>
      </c>
    </row>
    <row r="265" spans="1:119" s="10" customFormat="1" ht="32.25" customHeight="1" x14ac:dyDescent="0.2">
      <c r="A265" s="859"/>
      <c r="B265" s="860"/>
      <c r="C265" s="859"/>
      <c r="D265" s="4" t="s">
        <v>1410</v>
      </c>
      <c r="E265" s="4"/>
      <c r="F265" s="4"/>
      <c r="G265" s="860"/>
      <c r="H265" s="860"/>
      <c r="I265" s="266"/>
      <c r="J265" s="58"/>
      <c r="K265" s="204"/>
      <c r="L265" s="148">
        <v>1505016.02</v>
      </c>
      <c r="M265" s="18"/>
      <c r="N265" s="18"/>
      <c r="O265" s="149"/>
      <c r="P265" s="154"/>
      <c r="Q265" s="66"/>
      <c r="R265" s="18"/>
      <c r="S265" s="156"/>
      <c r="T265" s="160"/>
      <c r="U265" s="18"/>
      <c r="V265" s="18"/>
      <c r="W265" s="216"/>
      <c r="X265" s="246"/>
      <c r="Y265" s="18"/>
      <c r="Z265" s="18"/>
      <c r="AA265" s="18"/>
      <c r="AB265" s="158"/>
      <c r="AC265" s="44"/>
      <c r="AD265" s="864"/>
      <c r="AE265" s="69"/>
      <c r="AF265" s="69"/>
      <c r="AG265" s="69"/>
      <c r="AH265" s="69"/>
      <c r="AI265" s="69"/>
      <c r="AJ265" s="69"/>
      <c r="AK265" s="867"/>
      <c r="AL265" s="7"/>
      <c r="AM265" s="7"/>
      <c r="AN265" s="7"/>
      <c r="AO265" s="7"/>
      <c r="AP265" s="7"/>
      <c r="AQ265" s="7"/>
      <c r="AR265" s="7"/>
      <c r="AS265" s="7"/>
      <c r="AT265" s="7"/>
      <c r="AU265" s="7"/>
      <c r="AV265" s="7"/>
      <c r="AW265" s="7"/>
      <c r="AX265" s="85"/>
      <c r="AY265" s="9"/>
      <c r="AZ265" s="9"/>
      <c r="BA265" s="9"/>
      <c r="BB265" s="9"/>
      <c r="BC265" s="9"/>
      <c r="BD265" s="9"/>
      <c r="BE265" s="9"/>
      <c r="BF265" s="9"/>
      <c r="BG265" s="9"/>
      <c r="BH265" s="9"/>
      <c r="BI265" s="9"/>
      <c r="BJ265" s="9"/>
      <c r="BK265" s="85"/>
      <c r="BL265" s="39"/>
      <c r="BM265" s="39"/>
      <c r="BN265" s="39"/>
      <c r="BO265" s="39"/>
      <c r="BP265" s="39"/>
      <c r="BQ265" s="39"/>
      <c r="BR265" s="39"/>
      <c r="BS265" s="39"/>
      <c r="BT265" s="39"/>
      <c r="BU265" s="39"/>
      <c r="BV265" s="39"/>
      <c r="BW265" s="52"/>
      <c r="BX265" s="87"/>
      <c r="BY265" s="112"/>
      <c r="BZ265" s="112"/>
      <c r="CA265" s="112"/>
      <c r="CB265" s="112"/>
      <c r="CC265" s="112"/>
      <c r="CD265" s="112"/>
      <c r="CE265" s="112"/>
      <c r="CF265" s="112"/>
      <c r="CG265" s="112"/>
      <c r="CH265" s="112"/>
      <c r="CI265" s="112"/>
      <c r="CJ265" s="112"/>
      <c r="CK265" s="112"/>
      <c r="DC265" s="4"/>
      <c r="DD265" s="4"/>
      <c r="DE265" s="4"/>
      <c r="DF265" s="4"/>
      <c r="DG265" s="4"/>
      <c r="DH265" s="4"/>
      <c r="DI265" s="4"/>
      <c r="DJ265" s="4"/>
      <c r="DK265" s="4"/>
      <c r="DL265" s="4"/>
      <c r="DM265" s="4"/>
      <c r="DN265" s="4"/>
      <c r="DO265" s="4">
        <f t="shared" si="90"/>
        <v>0</v>
      </c>
    </row>
    <row r="266" spans="1:119" s="10" customFormat="1" ht="32.25" customHeight="1" x14ac:dyDescent="0.2">
      <c r="A266" s="859"/>
      <c r="B266" s="860"/>
      <c r="C266" s="859"/>
      <c r="D266" s="4" t="s">
        <v>1302</v>
      </c>
      <c r="E266" s="4" t="s">
        <v>1290</v>
      </c>
      <c r="F266" s="4" t="s">
        <v>49</v>
      </c>
      <c r="G266" s="860"/>
      <c r="H266" s="860"/>
      <c r="I266" s="5" t="s">
        <v>1301</v>
      </c>
      <c r="J266" s="5" t="s">
        <v>1301</v>
      </c>
      <c r="K266" s="196">
        <v>0</v>
      </c>
      <c r="L266" s="148"/>
      <c r="M266" s="18">
        <f t="shared" ref="M266:M285" si="91">AX266</f>
        <v>0</v>
      </c>
      <c r="N266" s="18">
        <f t="shared" ref="N266:N285" si="92">L266+M266</f>
        <v>0</v>
      </c>
      <c r="O266" s="149"/>
      <c r="P266" s="154">
        <f t="shared" ref="P266:P285" si="93">N266</f>
        <v>0</v>
      </c>
      <c r="Q266" s="66">
        <f t="shared" ref="Q266:Q285" si="94">BK266</f>
        <v>53966.54</v>
      </c>
      <c r="R266" s="18">
        <f t="shared" ref="R266:R285" si="95">P266+Q266</f>
        <v>53966.54</v>
      </c>
      <c r="S266" s="156"/>
      <c r="T266" s="160">
        <f t="shared" ref="T266:T285" si="96">R266</f>
        <v>53966.54</v>
      </c>
      <c r="U266" s="18">
        <f t="shared" ref="U266:U285" si="97">BX266</f>
        <v>0</v>
      </c>
      <c r="V266" s="18">
        <f t="shared" ref="V266:V285" si="98">T266+U266</f>
        <v>53966.54</v>
      </c>
      <c r="W266" s="216"/>
      <c r="X266" s="18">
        <f t="shared" ref="X266:X285" si="99">V266</f>
        <v>53966.54</v>
      </c>
      <c r="Y266" s="18">
        <f t="shared" ref="Y266:Y285" si="100">CK266</f>
        <v>0</v>
      </c>
      <c r="Z266" s="18">
        <f t="shared" ref="Z266:Z284" si="101">X266+Y266</f>
        <v>53966.54</v>
      </c>
      <c r="AA266" s="18">
        <f>K266-Z266</f>
        <v>-53966.54</v>
      </c>
      <c r="AB266" s="158">
        <v>0</v>
      </c>
      <c r="AC266" s="44" t="s">
        <v>1301</v>
      </c>
      <c r="AD266" s="864"/>
      <c r="AE266" s="69">
        <v>0</v>
      </c>
      <c r="AF266" s="69">
        <v>0</v>
      </c>
      <c r="AG266" s="69" t="s">
        <v>53</v>
      </c>
      <c r="AH266" s="69" t="s">
        <v>53</v>
      </c>
      <c r="AI266" s="69" t="s">
        <v>53</v>
      </c>
      <c r="AJ266" s="69" t="s">
        <v>54</v>
      </c>
      <c r="AK266" s="867"/>
      <c r="AL266" s="7"/>
      <c r="AM266" s="7"/>
      <c r="AN266" s="7"/>
      <c r="AO266" s="7"/>
      <c r="AP266" s="7"/>
      <c r="AQ266" s="7"/>
      <c r="AR266" s="7"/>
      <c r="AS266" s="7"/>
      <c r="AT266" s="7"/>
      <c r="AU266" s="7"/>
      <c r="AV266" s="7"/>
      <c r="AW266" s="7"/>
      <c r="AX266" s="85"/>
      <c r="AY266" s="9"/>
      <c r="AZ266" s="9"/>
      <c r="BA266" s="9"/>
      <c r="BB266" s="9"/>
      <c r="BC266" s="9"/>
      <c r="BD266" s="9"/>
      <c r="BE266" s="9"/>
      <c r="BF266" s="9"/>
      <c r="BG266" s="9"/>
      <c r="BH266" s="9"/>
      <c r="BI266" s="9"/>
      <c r="BJ266" s="9">
        <v>53966.54</v>
      </c>
      <c r="BK266" s="85">
        <f>SUM(AY266:BJ266)</f>
        <v>53966.54</v>
      </c>
      <c r="BL266" s="39"/>
      <c r="BM266" s="39"/>
      <c r="BN266" s="39"/>
      <c r="BO266" s="39"/>
      <c r="BP266" s="39"/>
      <c r="BQ266" s="39"/>
      <c r="BR266" s="39"/>
      <c r="BS266" s="39"/>
      <c r="BT266" s="39"/>
      <c r="BU266" s="39"/>
      <c r="BV266" s="39"/>
      <c r="BW266" s="52"/>
      <c r="BX266" s="87">
        <f t="shared" ref="BX266:BX276" si="102">SUM(BL266:BW266)</f>
        <v>0</v>
      </c>
      <c r="BY266" s="112"/>
      <c r="BZ266" s="112"/>
      <c r="CA266" s="112"/>
      <c r="CB266" s="112"/>
      <c r="CC266" s="112"/>
      <c r="CD266" s="112"/>
      <c r="CE266" s="112"/>
      <c r="CF266" s="112"/>
      <c r="CG266" s="112"/>
      <c r="CH266" s="112"/>
      <c r="CI266" s="112"/>
      <c r="CJ266" s="112"/>
      <c r="CK266" s="112">
        <f t="shared" ref="CK266:CK286" si="103">SUM(BY266:CJ266)</f>
        <v>0</v>
      </c>
      <c r="DC266" s="4"/>
      <c r="DD266" s="4"/>
      <c r="DE266" s="4"/>
      <c r="DF266" s="4"/>
      <c r="DG266" s="4"/>
      <c r="DH266" s="4"/>
      <c r="DI266" s="4"/>
      <c r="DJ266" s="4"/>
      <c r="DK266" s="4"/>
      <c r="DL266" s="4"/>
      <c r="DM266" s="4"/>
      <c r="DN266" s="4"/>
      <c r="DO266" s="4">
        <f t="shared" si="90"/>
        <v>0</v>
      </c>
    </row>
    <row r="267" spans="1:119" s="10" customFormat="1" ht="32.25" customHeight="1" x14ac:dyDescent="0.2">
      <c r="A267" s="859"/>
      <c r="B267" s="860"/>
      <c r="C267" s="859"/>
      <c r="D267" s="4" t="s">
        <v>178</v>
      </c>
      <c r="E267" s="4" t="s">
        <v>179</v>
      </c>
      <c r="F267" s="4" t="s">
        <v>49</v>
      </c>
      <c r="G267" s="860"/>
      <c r="H267" s="860"/>
      <c r="I267" s="5">
        <v>42306</v>
      </c>
      <c r="J267" s="58">
        <v>42672</v>
      </c>
      <c r="K267" s="197">
        <v>266000</v>
      </c>
      <c r="L267" s="148">
        <v>336815.18</v>
      </c>
      <c r="M267" s="18">
        <f t="shared" si="91"/>
        <v>80629.375</v>
      </c>
      <c r="N267" s="18">
        <f t="shared" si="92"/>
        <v>417444.55499999999</v>
      </c>
      <c r="O267" s="149">
        <f>K267-N267</f>
        <v>-151444.55499999999</v>
      </c>
      <c r="P267" s="154">
        <f t="shared" si="93"/>
        <v>417444.55499999999</v>
      </c>
      <c r="Q267" s="66">
        <f t="shared" si="94"/>
        <v>0</v>
      </c>
      <c r="R267" s="18">
        <f t="shared" si="95"/>
        <v>417444.55499999999</v>
      </c>
      <c r="S267" s="156">
        <f>K267-R267</f>
        <v>-151444.55499999999</v>
      </c>
      <c r="T267" s="160">
        <f t="shared" si="96"/>
        <v>417444.55499999999</v>
      </c>
      <c r="U267" s="18">
        <f t="shared" si="97"/>
        <v>0</v>
      </c>
      <c r="V267" s="18">
        <f t="shared" si="98"/>
        <v>417444.55499999999</v>
      </c>
      <c r="W267" s="216">
        <f>K267-V267</f>
        <v>-151444.55499999999</v>
      </c>
      <c r="X267" s="18">
        <f t="shared" si="99"/>
        <v>417444.55499999999</v>
      </c>
      <c r="Y267" s="18">
        <f t="shared" si="100"/>
        <v>0</v>
      </c>
      <c r="Z267" s="18">
        <f t="shared" si="101"/>
        <v>417444.55499999999</v>
      </c>
      <c r="AA267" s="18">
        <f>K267-Z267</f>
        <v>-151444.55499999999</v>
      </c>
      <c r="AB267" s="158">
        <v>0</v>
      </c>
      <c r="AC267" s="44">
        <v>12</v>
      </c>
      <c r="AD267" s="865"/>
      <c r="AE267" s="69">
        <v>0</v>
      </c>
      <c r="AF267" s="69">
        <v>0</v>
      </c>
      <c r="AG267" s="69" t="s">
        <v>53</v>
      </c>
      <c r="AH267" s="69" t="s">
        <v>53</v>
      </c>
      <c r="AI267" s="69" t="s">
        <v>53</v>
      </c>
      <c r="AJ267" s="69" t="s">
        <v>54</v>
      </c>
      <c r="AK267" s="868"/>
      <c r="AL267" s="7"/>
      <c r="AM267" s="7"/>
      <c r="AN267" s="7"/>
      <c r="AO267" s="7"/>
      <c r="AP267" s="7"/>
      <c r="AQ267" s="7"/>
      <c r="AR267" s="7"/>
      <c r="AS267" s="7"/>
      <c r="AT267" s="7"/>
      <c r="AU267" s="7">
        <v>80629.375</v>
      </c>
      <c r="AV267" s="7"/>
      <c r="AW267" s="7"/>
      <c r="AX267" s="85">
        <f>SUM(AL267:AW267)</f>
        <v>80629.375</v>
      </c>
      <c r="AY267" s="9"/>
      <c r="AZ267" s="9"/>
      <c r="BA267" s="9"/>
      <c r="BB267" s="9"/>
      <c r="BC267" s="9"/>
      <c r="BD267" s="9"/>
      <c r="BE267" s="9"/>
      <c r="BF267" s="9"/>
      <c r="BG267" s="9"/>
      <c r="BH267" s="9"/>
      <c r="BI267" s="9"/>
      <c r="BJ267" s="9"/>
      <c r="BK267" s="85">
        <f>SUM(AY267:BJ267)</f>
        <v>0</v>
      </c>
      <c r="BL267" s="39"/>
      <c r="BM267" s="39"/>
      <c r="BN267" s="39"/>
      <c r="BO267" s="39"/>
      <c r="BP267" s="39"/>
      <c r="BQ267" s="39"/>
      <c r="BR267" s="39"/>
      <c r="BS267" s="39"/>
      <c r="BT267" s="39"/>
      <c r="BU267" s="39"/>
      <c r="BV267" s="39"/>
      <c r="BW267" s="52"/>
      <c r="BX267" s="87">
        <f t="shared" si="102"/>
        <v>0</v>
      </c>
      <c r="BY267" s="112"/>
      <c r="BZ267" s="112"/>
      <c r="CA267" s="112"/>
      <c r="CB267" s="112"/>
      <c r="CC267" s="112"/>
      <c r="CD267" s="112"/>
      <c r="CE267" s="112"/>
      <c r="CF267" s="112"/>
      <c r="CG267" s="112"/>
      <c r="CH267" s="112"/>
      <c r="CI267" s="112"/>
      <c r="CJ267" s="112"/>
      <c r="CK267" s="112">
        <f t="shared" si="103"/>
        <v>0</v>
      </c>
      <c r="DC267" s="4"/>
      <c r="DD267" s="4"/>
      <c r="DE267" s="4"/>
      <c r="DF267" s="4"/>
      <c r="DG267" s="4"/>
      <c r="DH267" s="4"/>
      <c r="DI267" s="4"/>
      <c r="DJ267" s="4"/>
      <c r="DK267" s="4"/>
      <c r="DL267" s="4"/>
      <c r="DM267" s="4"/>
      <c r="DN267" s="4"/>
      <c r="DO267" s="4">
        <f t="shared" si="90"/>
        <v>0</v>
      </c>
    </row>
    <row r="268" spans="1:119" s="10" customFormat="1" ht="34.5" customHeight="1" x14ac:dyDescent="0.2">
      <c r="A268" s="859" t="s">
        <v>180</v>
      </c>
      <c r="B268" s="860" t="s">
        <v>57</v>
      </c>
      <c r="C268" s="859" t="s">
        <v>181</v>
      </c>
      <c r="D268" s="239" t="s">
        <v>182</v>
      </c>
      <c r="E268" s="4" t="s">
        <v>122</v>
      </c>
      <c r="F268" s="4" t="s">
        <v>49</v>
      </c>
      <c r="G268" s="860" t="s">
        <v>50</v>
      </c>
      <c r="H268" s="860" t="s">
        <v>61</v>
      </c>
      <c r="I268" s="266">
        <v>43956</v>
      </c>
      <c r="J268" s="270">
        <v>44140</v>
      </c>
      <c r="K268" s="204">
        <v>3182740</v>
      </c>
      <c r="L268" s="148"/>
      <c r="M268" s="18">
        <f t="shared" si="91"/>
        <v>0</v>
      </c>
      <c r="N268" s="18">
        <f t="shared" si="92"/>
        <v>0</v>
      </c>
      <c r="O268" s="149">
        <f>K268-N268</f>
        <v>3182740</v>
      </c>
      <c r="P268" s="154">
        <f t="shared" si="93"/>
        <v>0</v>
      </c>
      <c r="Q268" s="66">
        <f t="shared" si="94"/>
        <v>5637454.392</v>
      </c>
      <c r="R268" s="18">
        <f t="shared" si="95"/>
        <v>5637454.392</v>
      </c>
      <c r="S268" s="156">
        <f>K268-R268</f>
        <v>-2454714.392</v>
      </c>
      <c r="T268" s="160">
        <f t="shared" si="96"/>
        <v>5637454.392</v>
      </c>
      <c r="U268" s="18">
        <f t="shared" si="97"/>
        <v>0</v>
      </c>
      <c r="V268" s="18">
        <f t="shared" si="98"/>
        <v>5637454.392</v>
      </c>
      <c r="W268" s="216">
        <f>K268-V268</f>
        <v>-2454714.392</v>
      </c>
      <c r="X268" s="246">
        <f t="shared" si="99"/>
        <v>5637454.392</v>
      </c>
      <c r="Y268" s="18">
        <f t="shared" si="100"/>
        <v>0</v>
      </c>
      <c r="Z268" s="18">
        <f t="shared" si="101"/>
        <v>5637454.392</v>
      </c>
      <c r="AA268" s="18">
        <f>K268-Z268</f>
        <v>-2454714.392</v>
      </c>
      <c r="AB268" s="158">
        <v>0</v>
      </c>
      <c r="AC268" s="44">
        <v>6</v>
      </c>
      <c r="AD268" s="863" t="s">
        <v>517</v>
      </c>
      <c r="AE268" s="69">
        <v>0</v>
      </c>
      <c r="AF268" s="69">
        <v>0</v>
      </c>
      <c r="AG268" s="69" t="s">
        <v>53</v>
      </c>
      <c r="AH268" s="69" t="s">
        <v>53</v>
      </c>
      <c r="AI268" s="69" t="s">
        <v>53</v>
      </c>
      <c r="AJ268" s="69" t="s">
        <v>54</v>
      </c>
      <c r="AK268" s="866" t="s">
        <v>70</v>
      </c>
      <c r="AL268" s="7"/>
      <c r="AM268" s="7"/>
      <c r="AN268" s="7"/>
      <c r="AO268" s="7"/>
      <c r="AP268" s="7"/>
      <c r="AQ268" s="7"/>
      <c r="AR268" s="7"/>
      <c r="AS268" s="7"/>
      <c r="AT268" s="7"/>
      <c r="AU268" s="7"/>
      <c r="AV268" s="7"/>
      <c r="AW268" s="7"/>
      <c r="AX268" s="85">
        <f>SUM(AL268:AW268)</f>
        <v>0</v>
      </c>
      <c r="AY268" s="9">
        <v>825755.47600000002</v>
      </c>
      <c r="AZ268" s="9">
        <v>952039.73600000003</v>
      </c>
      <c r="BA268" s="9"/>
      <c r="BB268" s="288">
        <f>879932.76+505961.33+806985.34</f>
        <v>2192879.4300000002</v>
      </c>
      <c r="BC268" s="9"/>
      <c r="BD268" s="9"/>
      <c r="BE268" s="9"/>
      <c r="BF268" s="288">
        <f>1010577.25+656202.5</f>
        <v>1666779.75</v>
      </c>
      <c r="BG268" s="9"/>
      <c r="BH268" s="9"/>
      <c r="BI268" s="9"/>
      <c r="BJ268" s="9"/>
      <c r="BK268" s="85">
        <f>SUM(AY268:BJ268)</f>
        <v>5637454.392</v>
      </c>
      <c r="BL268" s="39"/>
      <c r="BM268" s="39"/>
      <c r="BN268" s="39"/>
      <c r="BO268" s="39"/>
      <c r="BP268" s="39"/>
      <c r="BQ268" s="39"/>
      <c r="BR268" s="39"/>
      <c r="BS268" s="39"/>
      <c r="BT268" s="39"/>
      <c r="BU268" s="39"/>
      <c r="BV268" s="39"/>
      <c r="BW268" s="52"/>
      <c r="BX268" s="87">
        <f t="shared" si="102"/>
        <v>0</v>
      </c>
      <c r="BY268" s="112"/>
      <c r="BZ268" s="112"/>
      <c r="CA268" s="112"/>
      <c r="CB268" s="112"/>
      <c r="CC268" s="112"/>
      <c r="CD268" s="112"/>
      <c r="CE268" s="112"/>
      <c r="CF268" s="112"/>
      <c r="CG268" s="112"/>
      <c r="CH268" s="112"/>
      <c r="CI268" s="112"/>
      <c r="CJ268" s="112"/>
      <c r="CK268" s="112">
        <f t="shared" si="103"/>
        <v>0</v>
      </c>
      <c r="DC268" s="4"/>
      <c r="DD268" s="4"/>
      <c r="DE268" s="4"/>
      <c r="DF268" s="4"/>
      <c r="DG268" s="4"/>
      <c r="DH268" s="4"/>
      <c r="DI268" s="4"/>
      <c r="DJ268" s="4"/>
      <c r="DK268" s="4"/>
      <c r="DL268" s="4"/>
      <c r="DM268" s="4"/>
      <c r="DN268" s="4"/>
      <c r="DO268" s="4">
        <f t="shared" si="90"/>
        <v>0</v>
      </c>
    </row>
    <row r="269" spans="1:119" s="10" customFormat="1" ht="34.5" customHeight="1" x14ac:dyDescent="0.2">
      <c r="A269" s="859"/>
      <c r="B269" s="860"/>
      <c r="C269" s="859"/>
      <c r="D269" s="4" t="s">
        <v>183</v>
      </c>
      <c r="E269" s="4" t="s">
        <v>184</v>
      </c>
      <c r="F269" s="4" t="s">
        <v>49</v>
      </c>
      <c r="G269" s="860"/>
      <c r="H269" s="860"/>
      <c r="I269" s="5">
        <v>43650</v>
      </c>
      <c r="J269" s="58">
        <v>44746</v>
      </c>
      <c r="K269" s="199" t="s">
        <v>164</v>
      </c>
      <c r="L269" s="148"/>
      <c r="M269" s="18">
        <f t="shared" si="91"/>
        <v>340543.04</v>
      </c>
      <c r="N269" s="18">
        <f t="shared" si="92"/>
        <v>340543.04</v>
      </c>
      <c r="O269" s="149"/>
      <c r="P269" s="154">
        <f t="shared" si="93"/>
        <v>340543.04</v>
      </c>
      <c r="Q269" s="66">
        <f t="shared" si="94"/>
        <v>57289.32</v>
      </c>
      <c r="R269" s="18">
        <f t="shared" si="95"/>
        <v>397832.36</v>
      </c>
      <c r="S269" s="156"/>
      <c r="T269" s="160">
        <f t="shared" si="96"/>
        <v>397832.36</v>
      </c>
      <c r="U269" s="18">
        <f t="shared" si="97"/>
        <v>0</v>
      </c>
      <c r="V269" s="18">
        <f t="shared" si="98"/>
        <v>397832.36</v>
      </c>
      <c r="W269" s="216"/>
      <c r="X269" s="18">
        <f t="shared" si="99"/>
        <v>397832.36</v>
      </c>
      <c r="Y269" s="18">
        <f t="shared" si="100"/>
        <v>0</v>
      </c>
      <c r="Z269" s="18">
        <f t="shared" si="101"/>
        <v>397832.36</v>
      </c>
      <c r="AA269" s="18"/>
      <c r="AB269" s="158">
        <v>0</v>
      </c>
      <c r="AC269" s="44">
        <v>36</v>
      </c>
      <c r="AD269" s="865"/>
      <c r="AE269" s="69">
        <v>0</v>
      </c>
      <c r="AF269" s="69">
        <v>0</v>
      </c>
      <c r="AG269" s="69" t="s">
        <v>53</v>
      </c>
      <c r="AH269" s="69" t="s">
        <v>53</v>
      </c>
      <c r="AI269" s="69" t="s">
        <v>53</v>
      </c>
      <c r="AJ269" s="69" t="s">
        <v>54</v>
      </c>
      <c r="AK269" s="868"/>
      <c r="AL269" s="7"/>
      <c r="AM269" s="7"/>
      <c r="AN269" s="7"/>
      <c r="AO269" s="7"/>
      <c r="AP269" s="7"/>
      <c r="AQ269" s="7"/>
      <c r="AR269" s="7"/>
      <c r="AS269" s="7"/>
      <c r="AT269" s="7"/>
      <c r="AU269" s="7"/>
      <c r="AV269" s="7">
        <v>340543.04</v>
      </c>
      <c r="AW269" s="7"/>
      <c r="AX269" s="85">
        <f>SUM(AL269:AW269)</f>
        <v>340543.04</v>
      </c>
      <c r="AY269" s="9"/>
      <c r="AZ269" s="9">
        <v>28644.66</v>
      </c>
      <c r="BA269" s="9"/>
      <c r="BB269" s="9">
        <v>28644.66</v>
      </c>
      <c r="BC269" s="9"/>
      <c r="BD269" s="9"/>
      <c r="BE269" s="9"/>
      <c r="BF269" s="9"/>
      <c r="BG269" s="9"/>
      <c r="BH269" s="9"/>
      <c r="BI269" s="9"/>
      <c r="BJ269" s="9"/>
      <c r="BK269" s="85">
        <f>SUM(AY269:BJ269)</f>
        <v>57289.32</v>
      </c>
      <c r="BL269" s="39"/>
      <c r="BM269" s="39"/>
      <c r="BN269" s="39"/>
      <c r="BO269" s="39"/>
      <c r="BP269" s="39"/>
      <c r="BQ269" s="39"/>
      <c r="BR269" s="39"/>
      <c r="BS269" s="39"/>
      <c r="BT269" s="39"/>
      <c r="BU269" s="39"/>
      <c r="BV269" s="39"/>
      <c r="BW269" s="52"/>
      <c r="BX269" s="87">
        <f t="shared" si="102"/>
        <v>0</v>
      </c>
      <c r="BY269" s="112"/>
      <c r="BZ269" s="112"/>
      <c r="CA269" s="112"/>
      <c r="CB269" s="112"/>
      <c r="CC269" s="112"/>
      <c r="CD269" s="112"/>
      <c r="CE269" s="112"/>
      <c r="CF269" s="112"/>
      <c r="CG269" s="112"/>
      <c r="CH269" s="112"/>
      <c r="CI269" s="112"/>
      <c r="CJ269" s="112"/>
      <c r="CK269" s="112">
        <f t="shared" si="103"/>
        <v>0</v>
      </c>
      <c r="DC269" s="4"/>
      <c r="DD269" s="4"/>
      <c r="DE269" s="4"/>
      <c r="DF269" s="4"/>
      <c r="DG269" s="4"/>
      <c r="DH269" s="4"/>
      <c r="DI269" s="4"/>
      <c r="DJ269" s="4"/>
      <c r="DK269" s="4"/>
      <c r="DL269" s="4"/>
      <c r="DM269" s="4"/>
      <c r="DN269" s="4"/>
      <c r="DO269" s="4">
        <f t="shared" si="90"/>
        <v>0</v>
      </c>
    </row>
    <row r="270" spans="1:119" ht="25.9" customHeight="1" x14ac:dyDescent="0.25">
      <c r="A270" s="859" t="s">
        <v>138</v>
      </c>
      <c r="B270" s="860" t="s">
        <v>57</v>
      </c>
      <c r="C270" s="859" t="s">
        <v>139</v>
      </c>
      <c r="D270" s="284" t="s">
        <v>140</v>
      </c>
      <c r="E270" s="284" t="s">
        <v>65</v>
      </c>
      <c r="F270" s="284" t="s">
        <v>49</v>
      </c>
      <c r="G270" s="860" t="s">
        <v>50</v>
      </c>
      <c r="H270" s="860" t="s">
        <v>61</v>
      </c>
      <c r="I270" s="298">
        <v>43944</v>
      </c>
      <c r="J270" s="299">
        <v>44127</v>
      </c>
      <c r="K270" s="318">
        <v>10644479.119999999</v>
      </c>
      <c r="L270" s="301"/>
      <c r="M270" s="302">
        <f t="shared" si="91"/>
        <v>2309701.8420000002</v>
      </c>
      <c r="N270" s="302">
        <f t="shared" si="92"/>
        <v>2309701.8420000002</v>
      </c>
      <c r="O270" s="303">
        <f>K270-N270</f>
        <v>8334777.277999999</v>
      </c>
      <c r="P270" s="304">
        <f t="shared" si="93"/>
        <v>2309701.8420000002</v>
      </c>
      <c r="Q270" s="305">
        <f t="shared" si="94"/>
        <v>8145203.9329999993</v>
      </c>
      <c r="R270" s="302">
        <f t="shared" si="95"/>
        <v>10454905.774999999</v>
      </c>
      <c r="S270" s="306">
        <f>K270-R270</f>
        <v>189573.34500000067</v>
      </c>
      <c r="T270" s="307">
        <f t="shared" si="96"/>
        <v>10454905.774999999</v>
      </c>
      <c r="U270" s="302">
        <f t="shared" si="97"/>
        <v>266111.98</v>
      </c>
      <c r="V270" s="302">
        <f t="shared" si="98"/>
        <v>10721017.754999999</v>
      </c>
      <c r="W270" s="308">
        <f>K270-V270</f>
        <v>-76538.634999999776</v>
      </c>
      <c r="X270" s="302">
        <f t="shared" si="99"/>
        <v>10721017.754999999</v>
      </c>
      <c r="Y270" s="302">
        <f t="shared" si="100"/>
        <v>0</v>
      </c>
      <c r="Z270" s="302">
        <f t="shared" si="101"/>
        <v>10721017.754999999</v>
      </c>
      <c r="AA270" s="302">
        <f>K270-Z270</f>
        <v>-76538.634999999776</v>
      </c>
      <c r="AB270" s="309">
        <v>0</v>
      </c>
      <c r="AC270" s="36">
        <v>6</v>
      </c>
      <c r="AD270" s="863" t="s">
        <v>517</v>
      </c>
      <c r="AE270" s="310">
        <v>0</v>
      </c>
      <c r="AF270" s="310">
        <v>0</v>
      </c>
      <c r="AG270" s="310" t="s">
        <v>53</v>
      </c>
      <c r="AH270" s="310" t="s">
        <v>53</v>
      </c>
      <c r="AI270" s="310" t="s">
        <v>53</v>
      </c>
      <c r="AJ270" s="310" t="s">
        <v>54</v>
      </c>
      <c r="AK270" s="866" t="s">
        <v>70</v>
      </c>
      <c r="AL270" s="311"/>
      <c r="AM270" s="311"/>
      <c r="AN270" s="311"/>
      <c r="AO270" s="311"/>
      <c r="AP270" s="311"/>
      <c r="AQ270" s="311"/>
      <c r="AR270" s="311"/>
      <c r="AS270" s="311"/>
      <c r="AT270" s="311"/>
      <c r="AU270" s="311"/>
      <c r="AV270" s="311"/>
      <c r="AW270" s="311">
        <f>1215512.372+1094189.47</f>
        <v>2309701.8420000002</v>
      </c>
      <c r="AX270" s="312">
        <f>SUM(AL270:AW270)</f>
        <v>2309701.8420000002</v>
      </c>
      <c r="AY270" s="313"/>
      <c r="AZ270" s="313">
        <v>877045.42999999993</v>
      </c>
      <c r="BA270" s="313">
        <v>1303263.5359999998</v>
      </c>
      <c r="BB270" s="313">
        <f>1766340.591+778357.44</f>
        <v>2544698.031</v>
      </c>
      <c r="BC270" s="313"/>
      <c r="BD270" s="313">
        <v>1357106.3059999999</v>
      </c>
      <c r="BE270" s="313"/>
      <c r="BF270" s="313"/>
      <c r="BG270" s="313"/>
      <c r="BH270" s="314">
        <v>426512.02300000004</v>
      </c>
      <c r="BI270" s="313"/>
      <c r="BJ270" s="313">
        <f>137044.097+1499534.51</f>
        <v>1636578.6070000001</v>
      </c>
      <c r="BK270" s="312">
        <f>SUM(AY270:BJ270)</f>
        <v>8145203.9329999993</v>
      </c>
      <c r="BL270" s="314"/>
      <c r="BM270" s="314"/>
      <c r="BN270" s="314"/>
      <c r="BO270" s="314"/>
      <c r="BP270" s="314"/>
      <c r="BQ270" s="314"/>
      <c r="BR270" s="314"/>
      <c r="BS270" s="314"/>
      <c r="BT270" s="314"/>
      <c r="BU270" s="314"/>
      <c r="BV270" s="314"/>
      <c r="BW270" s="315">
        <v>266111.98</v>
      </c>
      <c r="BX270" s="316">
        <f t="shared" si="102"/>
        <v>266111.98</v>
      </c>
      <c r="BY270" s="314"/>
      <c r="BZ270" s="314"/>
      <c r="CA270" s="314"/>
      <c r="CB270" s="314"/>
      <c r="CC270" s="314"/>
      <c r="CD270" s="314"/>
      <c r="CE270" s="314"/>
      <c r="CF270" s="314"/>
      <c r="CG270" s="314"/>
      <c r="CH270" s="314"/>
      <c r="CI270" s="314"/>
      <c r="CJ270" s="314"/>
      <c r="CK270" s="314">
        <f t="shared" si="103"/>
        <v>0</v>
      </c>
      <c r="DC270" s="518"/>
      <c r="DD270" s="518"/>
      <c r="DE270" s="518"/>
      <c r="DF270" s="518"/>
      <c r="DG270" s="518"/>
      <c r="DH270" s="518"/>
      <c r="DI270" s="518"/>
      <c r="DJ270" s="518"/>
      <c r="DK270" s="518"/>
      <c r="DL270" s="518"/>
      <c r="DM270" s="518"/>
      <c r="DN270" s="518"/>
      <c r="DO270" s="518">
        <f t="shared" si="90"/>
        <v>0</v>
      </c>
    </row>
    <row r="271" spans="1:119" ht="25.9" customHeight="1" x14ac:dyDescent="0.25">
      <c r="A271" s="859"/>
      <c r="B271" s="860"/>
      <c r="C271" s="859"/>
      <c r="D271" s="4" t="s">
        <v>141</v>
      </c>
      <c r="E271" s="4" t="s">
        <v>1289</v>
      </c>
      <c r="F271" s="4" t="s">
        <v>49</v>
      </c>
      <c r="G271" s="860"/>
      <c r="H271" s="860"/>
      <c r="I271" s="5" t="s">
        <v>1301</v>
      </c>
      <c r="J271" s="5" t="s">
        <v>1301</v>
      </c>
      <c r="K271" s="196">
        <v>0</v>
      </c>
      <c r="L271" s="148"/>
      <c r="M271" s="18">
        <f t="shared" si="91"/>
        <v>0</v>
      </c>
      <c r="N271" s="18">
        <f t="shared" si="92"/>
        <v>0</v>
      </c>
      <c r="O271" s="149"/>
      <c r="P271" s="154">
        <f t="shared" si="93"/>
        <v>0</v>
      </c>
      <c r="Q271" s="66">
        <f t="shared" si="94"/>
        <v>0</v>
      </c>
      <c r="R271" s="18">
        <f t="shared" si="95"/>
        <v>0</v>
      </c>
      <c r="S271" s="156"/>
      <c r="T271" s="160">
        <f t="shared" si="96"/>
        <v>0</v>
      </c>
      <c r="U271" s="18">
        <f t="shared" si="97"/>
        <v>0</v>
      </c>
      <c r="V271" s="18">
        <f t="shared" si="98"/>
        <v>0</v>
      </c>
      <c r="W271" s="216"/>
      <c r="X271" s="18">
        <f t="shared" si="99"/>
        <v>0</v>
      </c>
      <c r="Y271" s="18">
        <f t="shared" si="100"/>
        <v>0</v>
      </c>
      <c r="Z271" s="18">
        <f t="shared" si="101"/>
        <v>0</v>
      </c>
      <c r="AA271" s="18">
        <f>K271-Z271</f>
        <v>0</v>
      </c>
      <c r="AB271" s="158">
        <v>0</v>
      </c>
      <c r="AC271" s="5" t="s">
        <v>1301</v>
      </c>
      <c r="AD271" s="864"/>
      <c r="AE271" s="69">
        <v>0</v>
      </c>
      <c r="AF271" s="69">
        <v>0</v>
      </c>
      <c r="AG271" s="69" t="s">
        <v>53</v>
      </c>
      <c r="AH271" s="69" t="s">
        <v>53</v>
      </c>
      <c r="AI271" s="69" t="s">
        <v>53</v>
      </c>
      <c r="AJ271" s="69" t="s">
        <v>54</v>
      </c>
      <c r="AK271" s="867"/>
      <c r="AL271" s="7"/>
      <c r="AM271" s="7"/>
      <c r="AN271" s="7"/>
      <c r="AO271" s="7"/>
      <c r="AP271" s="7"/>
      <c r="AQ271" s="7"/>
      <c r="AR271" s="7"/>
      <c r="AS271" s="7"/>
      <c r="AT271" s="7"/>
      <c r="AU271" s="7"/>
      <c r="AV271" s="7"/>
      <c r="AW271" s="7"/>
      <c r="AX271" s="85"/>
      <c r="AY271" s="9"/>
      <c r="AZ271" s="9"/>
      <c r="BA271" s="9"/>
      <c r="BB271" s="9"/>
      <c r="BC271" s="9"/>
      <c r="BD271" s="9"/>
      <c r="BE271" s="9"/>
      <c r="BF271" s="9"/>
      <c r="BG271" s="9"/>
      <c r="BH271" s="4"/>
      <c r="BI271" s="9">
        <v>589357.77</v>
      </c>
      <c r="BJ271" s="9"/>
      <c r="BK271" s="85"/>
      <c r="BL271" s="39"/>
      <c r="BM271" s="39"/>
      <c r="BN271" s="39"/>
      <c r="BO271" s="39"/>
      <c r="BP271" s="39"/>
      <c r="BQ271" s="39"/>
      <c r="BR271" s="39"/>
      <c r="BS271" s="39"/>
      <c r="BT271" s="39"/>
      <c r="BU271" s="39"/>
      <c r="BV271" s="39"/>
      <c r="BW271" s="52"/>
      <c r="BX271" s="87">
        <f t="shared" si="102"/>
        <v>0</v>
      </c>
      <c r="BY271" s="112"/>
      <c r="BZ271" s="112"/>
      <c r="CA271" s="112"/>
      <c r="CB271" s="112"/>
      <c r="CC271" s="112"/>
      <c r="CD271" s="112"/>
      <c r="CE271" s="112"/>
      <c r="CF271" s="112"/>
      <c r="CG271" s="112"/>
      <c r="CH271" s="112"/>
      <c r="CI271" s="112"/>
      <c r="CJ271" s="112"/>
      <c r="CK271" s="112">
        <f t="shared" si="103"/>
        <v>0</v>
      </c>
      <c r="DC271" s="518"/>
      <c r="DD271" s="518"/>
      <c r="DE271" s="518"/>
      <c r="DF271" s="518"/>
      <c r="DG271" s="518"/>
      <c r="DH271" s="518"/>
      <c r="DI271" s="518"/>
      <c r="DJ271" s="518"/>
      <c r="DK271" s="518"/>
      <c r="DL271" s="518"/>
      <c r="DM271" s="518"/>
      <c r="DN271" s="518"/>
      <c r="DO271" s="518">
        <f t="shared" si="90"/>
        <v>0</v>
      </c>
    </row>
    <row r="272" spans="1:119" ht="25.9" customHeight="1" x14ac:dyDescent="0.25">
      <c r="A272" s="859"/>
      <c r="B272" s="860"/>
      <c r="C272" s="859"/>
      <c r="D272" s="4" t="s">
        <v>72</v>
      </c>
      <c r="E272" s="4" t="s">
        <v>73</v>
      </c>
      <c r="F272" s="4" t="s">
        <v>49</v>
      </c>
      <c r="G272" s="860"/>
      <c r="H272" s="860"/>
      <c r="I272" s="5">
        <v>43650</v>
      </c>
      <c r="J272" s="58">
        <v>44746</v>
      </c>
      <c r="K272" s="197" t="s">
        <v>142</v>
      </c>
      <c r="L272" s="148"/>
      <c r="M272" s="18">
        <f t="shared" si="91"/>
        <v>791598.11849999998</v>
      </c>
      <c r="N272" s="18">
        <f t="shared" si="92"/>
        <v>791598.11849999998</v>
      </c>
      <c r="O272" s="149"/>
      <c r="P272" s="154">
        <f t="shared" si="93"/>
        <v>791598.11849999998</v>
      </c>
      <c r="Q272" s="66">
        <f t="shared" si="94"/>
        <v>233111.85399999999</v>
      </c>
      <c r="R272" s="18">
        <f t="shared" si="95"/>
        <v>1024709.9724999999</v>
      </c>
      <c r="S272" s="156"/>
      <c r="T272" s="160">
        <f t="shared" si="96"/>
        <v>1024709.9724999999</v>
      </c>
      <c r="U272" s="18">
        <f t="shared" si="97"/>
        <v>470070.23</v>
      </c>
      <c r="V272" s="18">
        <f t="shared" si="98"/>
        <v>1494780.2024999999</v>
      </c>
      <c r="W272" s="216"/>
      <c r="X272" s="18">
        <f t="shared" si="99"/>
        <v>1494780.2024999999</v>
      </c>
      <c r="Y272" s="18">
        <f t="shared" si="100"/>
        <v>0</v>
      </c>
      <c r="Z272" s="18">
        <f t="shared" si="101"/>
        <v>1494780.2024999999</v>
      </c>
      <c r="AA272" s="18"/>
      <c r="AB272" s="158">
        <v>0</v>
      </c>
      <c r="AC272" s="44">
        <v>36</v>
      </c>
      <c r="AD272" s="865"/>
      <c r="AE272" s="69">
        <v>0</v>
      </c>
      <c r="AF272" s="69">
        <v>0</v>
      </c>
      <c r="AG272" s="69" t="s">
        <v>53</v>
      </c>
      <c r="AH272" s="69" t="s">
        <v>53</v>
      </c>
      <c r="AI272" s="69" t="s">
        <v>53</v>
      </c>
      <c r="AJ272" s="69" t="s">
        <v>54</v>
      </c>
      <c r="AK272" s="868"/>
      <c r="AL272" s="7"/>
      <c r="AM272" s="7"/>
      <c r="AN272" s="7"/>
      <c r="AO272" s="7"/>
      <c r="AP272" s="7"/>
      <c r="AQ272" s="7"/>
      <c r="AR272" s="7"/>
      <c r="AS272" s="7"/>
      <c r="AT272" s="7"/>
      <c r="AU272" s="7">
        <v>791598.11849999998</v>
      </c>
      <c r="AV272" s="7"/>
      <c r="AW272" s="7"/>
      <c r="AX272" s="85">
        <f>SUM(AL272:AW272)</f>
        <v>791598.11849999998</v>
      </c>
      <c r="AY272" s="9"/>
      <c r="AZ272" s="9"/>
      <c r="BA272" s="9">
        <v>233111.85399999999</v>
      </c>
      <c r="BB272" s="9"/>
      <c r="BC272" s="9"/>
      <c r="BD272" s="9"/>
      <c r="BE272" s="9"/>
      <c r="BF272" s="9"/>
      <c r="BG272" s="9"/>
      <c r="BH272" s="4"/>
      <c r="BI272" s="9"/>
      <c r="BJ272" s="9"/>
      <c r="BK272" s="85">
        <f>SUM(AY272:BJ272)</f>
        <v>233111.85399999999</v>
      </c>
      <c r="BL272" s="39"/>
      <c r="BM272" s="39">
        <v>294750.23</v>
      </c>
      <c r="BN272" s="39"/>
      <c r="BO272" s="39"/>
      <c r="BP272" s="39"/>
      <c r="BQ272" s="39"/>
      <c r="BR272" s="39"/>
      <c r="BS272" s="39"/>
      <c r="BT272" s="39">
        <v>175320</v>
      </c>
      <c r="BU272" s="39"/>
      <c r="BV272" s="39"/>
      <c r="BW272" s="52"/>
      <c r="BX272" s="87">
        <f t="shared" si="102"/>
        <v>470070.23</v>
      </c>
      <c r="BY272" s="112"/>
      <c r="BZ272" s="112"/>
      <c r="CA272" s="112"/>
      <c r="CB272" s="112"/>
      <c r="CC272" s="112"/>
      <c r="CD272" s="112"/>
      <c r="CE272" s="112"/>
      <c r="CF272" s="112"/>
      <c r="CG272" s="112"/>
      <c r="CH272" s="112"/>
      <c r="CI272" s="112"/>
      <c r="CJ272" s="112"/>
      <c r="CK272" s="112">
        <f t="shared" si="103"/>
        <v>0</v>
      </c>
      <c r="DC272" s="518"/>
      <c r="DD272" s="518"/>
      <c r="DE272" s="518"/>
      <c r="DF272" s="518"/>
      <c r="DG272" s="518"/>
      <c r="DH272" s="518"/>
      <c r="DI272" s="518"/>
      <c r="DJ272" s="518"/>
      <c r="DK272" s="518"/>
      <c r="DL272" s="518"/>
      <c r="DM272" s="518"/>
      <c r="DN272" s="518"/>
      <c r="DO272" s="518">
        <f t="shared" si="90"/>
        <v>0</v>
      </c>
    </row>
    <row r="273" spans="1:119" s="10" customFormat="1" ht="32.25" customHeight="1" x14ac:dyDescent="0.2">
      <c r="A273" s="860" t="s">
        <v>117</v>
      </c>
      <c r="B273" s="860" t="s">
        <v>57</v>
      </c>
      <c r="C273" s="859" t="s">
        <v>118</v>
      </c>
      <c r="D273" s="277" t="s">
        <v>119</v>
      </c>
      <c r="E273" s="4" t="s">
        <v>120</v>
      </c>
      <c r="F273" s="4" t="s">
        <v>49</v>
      </c>
      <c r="G273" s="860" t="s">
        <v>50</v>
      </c>
      <c r="H273" s="860" t="s">
        <v>61</v>
      </c>
      <c r="I273" s="266">
        <v>43887</v>
      </c>
      <c r="J273" s="58">
        <v>44069</v>
      </c>
      <c r="K273" s="269">
        <v>3110715.97</v>
      </c>
      <c r="L273" s="221"/>
      <c r="M273" s="18">
        <f t="shared" si="91"/>
        <v>518321.32</v>
      </c>
      <c r="N273" s="18">
        <f t="shared" si="92"/>
        <v>518321.32</v>
      </c>
      <c r="O273" s="222">
        <f>K273-N273</f>
        <v>2592394.6500000004</v>
      </c>
      <c r="P273" s="18">
        <f t="shared" si="93"/>
        <v>518321.32</v>
      </c>
      <c r="Q273" s="18">
        <f t="shared" si="94"/>
        <v>310294.26</v>
      </c>
      <c r="R273" s="18">
        <f t="shared" si="95"/>
        <v>828615.58000000007</v>
      </c>
      <c r="S273" s="18">
        <f>K273-R273</f>
        <v>2282100.39</v>
      </c>
      <c r="T273" s="21">
        <f t="shared" si="96"/>
        <v>828615.58000000007</v>
      </c>
      <c r="U273" s="18">
        <f t="shared" si="97"/>
        <v>0</v>
      </c>
      <c r="V273" s="18">
        <f t="shared" si="98"/>
        <v>828615.58000000007</v>
      </c>
      <c r="W273" s="18">
        <f>K273-V273</f>
        <v>2282100.39</v>
      </c>
      <c r="X273" s="18">
        <f t="shared" si="99"/>
        <v>828615.58000000007</v>
      </c>
      <c r="Y273" s="18">
        <f t="shared" si="100"/>
        <v>0</v>
      </c>
      <c r="Z273" s="18">
        <f t="shared" si="101"/>
        <v>828615.58000000007</v>
      </c>
      <c r="AA273" s="18">
        <f>K273-Z273</f>
        <v>2282100.39</v>
      </c>
      <c r="AB273" s="223">
        <v>0</v>
      </c>
      <c r="AC273" s="44">
        <v>6</v>
      </c>
      <c r="AD273" s="859" t="s">
        <v>517</v>
      </c>
      <c r="AE273" s="69">
        <v>0</v>
      </c>
      <c r="AF273" s="69">
        <v>0</v>
      </c>
      <c r="AG273" s="69" t="s">
        <v>53</v>
      </c>
      <c r="AH273" s="69" t="s">
        <v>53</v>
      </c>
      <c r="AI273" s="69" t="s">
        <v>53</v>
      </c>
      <c r="AJ273" s="69" t="s">
        <v>54</v>
      </c>
      <c r="AK273" s="860" t="s">
        <v>1313</v>
      </c>
      <c r="AL273" s="7"/>
      <c r="AM273" s="7"/>
      <c r="AN273" s="7"/>
      <c r="AO273" s="7"/>
      <c r="AP273" s="7"/>
      <c r="AQ273" s="7"/>
      <c r="AR273" s="7"/>
      <c r="AS273" s="7"/>
      <c r="AT273" s="7"/>
      <c r="AU273" s="7"/>
      <c r="AV273" s="7">
        <v>518321.32</v>
      </c>
      <c r="AW273" s="7"/>
      <c r="AX273" s="85">
        <f>SUM(AL273:AW273)</f>
        <v>518321.32</v>
      </c>
      <c r="AY273" s="9"/>
      <c r="AZ273" s="9">
        <v>226282.86</v>
      </c>
      <c r="BA273" s="9">
        <v>84011.4</v>
      </c>
      <c r="BB273" s="9"/>
      <c r="BC273" s="9"/>
      <c r="BD273" s="9"/>
      <c r="BE273" s="9"/>
      <c r="BF273" s="9"/>
      <c r="BG273" s="9"/>
      <c r="BH273" s="9"/>
      <c r="BI273" s="9"/>
      <c r="BJ273" s="9"/>
      <c r="BK273" s="85">
        <f>SUM(AY273:BJ273)</f>
        <v>310294.26</v>
      </c>
      <c r="BL273" s="220"/>
      <c r="BM273" s="39"/>
      <c r="BN273" s="39"/>
      <c r="BO273" s="39"/>
      <c r="BP273" s="39"/>
      <c r="BQ273" s="39"/>
      <c r="BR273" s="39"/>
      <c r="BS273" s="39"/>
      <c r="BT273" s="39"/>
      <c r="BU273" s="39"/>
      <c r="BV273" s="39"/>
      <c r="BW273" s="52"/>
      <c r="BX273" s="87">
        <f t="shared" si="102"/>
        <v>0</v>
      </c>
      <c r="BY273" s="112"/>
      <c r="BZ273" s="112"/>
      <c r="CA273" s="112"/>
      <c r="CB273" s="112"/>
      <c r="CC273" s="112"/>
      <c r="CD273" s="112"/>
      <c r="CE273" s="112"/>
      <c r="CF273" s="112"/>
      <c r="CG273" s="112"/>
      <c r="CH273" s="112"/>
      <c r="CI273" s="112"/>
      <c r="CJ273" s="112"/>
      <c r="CK273" s="112">
        <f t="shared" si="103"/>
        <v>0</v>
      </c>
      <c r="DC273" s="4"/>
      <c r="DD273" s="4"/>
      <c r="DE273" s="4"/>
      <c r="DF273" s="4"/>
      <c r="DG273" s="4"/>
      <c r="DH273" s="4"/>
      <c r="DI273" s="4"/>
      <c r="DJ273" s="4"/>
      <c r="DK273" s="4"/>
      <c r="DL273" s="4"/>
      <c r="DM273" s="4"/>
      <c r="DN273" s="4"/>
      <c r="DO273" s="4">
        <f t="shared" si="90"/>
        <v>0</v>
      </c>
    </row>
    <row r="274" spans="1:119" s="10" customFormat="1" ht="33" customHeight="1" x14ac:dyDescent="0.2">
      <c r="A274" s="860"/>
      <c r="B274" s="860"/>
      <c r="C274" s="859"/>
      <c r="D274" s="277" t="s">
        <v>121</v>
      </c>
      <c r="E274" s="4" t="s">
        <v>122</v>
      </c>
      <c r="F274" s="4" t="s">
        <v>49</v>
      </c>
      <c r="G274" s="860"/>
      <c r="H274" s="860"/>
      <c r="I274" s="266">
        <v>44228</v>
      </c>
      <c r="J274" s="58">
        <v>44593</v>
      </c>
      <c r="K274" s="271">
        <v>2247000.4700000002</v>
      </c>
      <c r="L274" s="221"/>
      <c r="M274" s="18">
        <f t="shared" si="91"/>
        <v>0</v>
      </c>
      <c r="N274" s="18">
        <f t="shared" si="92"/>
        <v>0</v>
      </c>
      <c r="O274" s="222">
        <f>K274-N274</f>
        <v>2247000.4700000002</v>
      </c>
      <c r="P274" s="18">
        <f t="shared" si="93"/>
        <v>0</v>
      </c>
      <c r="Q274" s="18">
        <f t="shared" si="94"/>
        <v>1442518.3374999999</v>
      </c>
      <c r="R274" s="18">
        <f t="shared" si="95"/>
        <v>1442518.3374999999</v>
      </c>
      <c r="S274" s="18">
        <f>K274-R274</f>
        <v>804482.1325000003</v>
      </c>
      <c r="T274" s="21">
        <f t="shared" si="96"/>
        <v>1442518.3374999999</v>
      </c>
      <c r="U274" s="18">
        <f t="shared" si="97"/>
        <v>0</v>
      </c>
      <c r="V274" s="18">
        <f t="shared" si="98"/>
        <v>1442518.3374999999</v>
      </c>
      <c r="W274" s="18">
        <f>K274-V274</f>
        <v>804482.1325000003</v>
      </c>
      <c r="X274" s="18">
        <f t="shared" si="99"/>
        <v>1442518.3374999999</v>
      </c>
      <c r="Y274" s="18">
        <f t="shared" si="100"/>
        <v>0</v>
      </c>
      <c r="Z274" s="18">
        <f t="shared" si="101"/>
        <v>1442518.3374999999</v>
      </c>
      <c r="AA274" s="18">
        <f>K274-Z274</f>
        <v>804482.1325000003</v>
      </c>
      <c r="AB274" s="223">
        <v>0</v>
      </c>
      <c r="AC274" s="44">
        <v>12</v>
      </c>
      <c r="AD274" s="859"/>
      <c r="AE274" s="69">
        <v>0</v>
      </c>
      <c r="AF274" s="69">
        <v>0</v>
      </c>
      <c r="AG274" s="69" t="s">
        <v>53</v>
      </c>
      <c r="AH274" s="69" t="s">
        <v>53</v>
      </c>
      <c r="AI274" s="69" t="s">
        <v>53</v>
      </c>
      <c r="AJ274" s="69" t="s">
        <v>54</v>
      </c>
      <c r="AK274" s="860"/>
      <c r="AL274" s="7"/>
      <c r="AM274" s="7"/>
      <c r="AN274" s="7"/>
      <c r="AO274" s="7"/>
      <c r="AP274" s="7"/>
      <c r="AQ274" s="7"/>
      <c r="AR274" s="7"/>
      <c r="AS274" s="7"/>
      <c r="AT274" s="7"/>
      <c r="AU274" s="7"/>
      <c r="AV274" s="7"/>
      <c r="AW274" s="7"/>
      <c r="AX274" s="85">
        <f>SUM(AL274:AW274)</f>
        <v>0</v>
      </c>
      <c r="AY274" s="9"/>
      <c r="AZ274" s="9"/>
      <c r="BA274" s="9"/>
      <c r="BB274" s="9"/>
      <c r="BC274" s="4"/>
      <c r="BD274" s="9"/>
      <c r="BE274" s="9"/>
      <c r="BF274" s="9">
        <v>420563.68249999994</v>
      </c>
      <c r="BG274" s="9">
        <v>273674.69999999995</v>
      </c>
      <c r="BH274" s="288">
        <v>452476.12499999994</v>
      </c>
      <c r="BI274" s="9">
        <v>295803.83</v>
      </c>
      <c r="BJ274" s="9"/>
      <c r="BK274" s="85">
        <f>SUM(AY274:BJ274)</f>
        <v>1442518.3374999999</v>
      </c>
      <c r="BL274" s="220"/>
      <c r="BM274" s="39"/>
      <c r="BN274" s="39"/>
      <c r="BO274" s="39"/>
      <c r="BP274" s="39"/>
      <c r="BQ274" s="39"/>
      <c r="BR274" s="39"/>
      <c r="BS274" s="39"/>
      <c r="BT274" s="39"/>
      <c r="BU274" s="39"/>
      <c r="BV274" s="39"/>
      <c r="BW274" s="52"/>
      <c r="BX274" s="87">
        <f t="shared" si="102"/>
        <v>0</v>
      </c>
      <c r="BY274" s="112"/>
      <c r="BZ274" s="112"/>
      <c r="CA274" s="112"/>
      <c r="CB274" s="112"/>
      <c r="CC274" s="112"/>
      <c r="CD274" s="112"/>
      <c r="CE274" s="112"/>
      <c r="CF274" s="112"/>
      <c r="CG274" s="112"/>
      <c r="CH274" s="112"/>
      <c r="CI274" s="112"/>
      <c r="CJ274" s="112"/>
      <c r="CK274" s="112">
        <f t="shared" si="103"/>
        <v>0</v>
      </c>
      <c r="DC274" s="4"/>
      <c r="DD274" s="4"/>
      <c r="DE274" s="4"/>
      <c r="DF274" s="4"/>
      <c r="DG274" s="4"/>
      <c r="DH274" s="4"/>
      <c r="DI274" s="4"/>
      <c r="DJ274" s="4"/>
      <c r="DK274" s="4"/>
      <c r="DL274" s="4"/>
      <c r="DM274" s="4"/>
      <c r="DN274" s="4"/>
      <c r="DO274" s="4">
        <f t="shared" si="90"/>
        <v>0</v>
      </c>
    </row>
    <row r="275" spans="1:119" s="10" customFormat="1" ht="33" customHeight="1" x14ac:dyDescent="0.2">
      <c r="A275" s="860"/>
      <c r="B275" s="860"/>
      <c r="C275" s="859"/>
      <c r="D275" s="6" t="s">
        <v>123</v>
      </c>
      <c r="E275" s="4" t="s">
        <v>124</v>
      </c>
      <c r="F275" s="4" t="s">
        <v>49</v>
      </c>
      <c r="G275" s="860"/>
      <c r="H275" s="860"/>
      <c r="I275" s="5">
        <v>44174</v>
      </c>
      <c r="J275" s="58" t="s">
        <v>1301</v>
      </c>
      <c r="K275" s="224">
        <v>922306</v>
      </c>
      <c r="L275" s="221"/>
      <c r="M275" s="18">
        <f t="shared" si="91"/>
        <v>0</v>
      </c>
      <c r="N275" s="18">
        <f t="shared" si="92"/>
        <v>0</v>
      </c>
      <c r="O275" s="222">
        <f>K275-N275</f>
        <v>922306</v>
      </c>
      <c r="P275" s="18">
        <f t="shared" si="93"/>
        <v>0</v>
      </c>
      <c r="Q275" s="18">
        <f t="shared" si="94"/>
        <v>871410</v>
      </c>
      <c r="R275" s="18">
        <f t="shared" si="95"/>
        <v>871410</v>
      </c>
      <c r="S275" s="18">
        <f>K275-R275</f>
        <v>50896</v>
      </c>
      <c r="T275" s="21">
        <f t="shared" si="96"/>
        <v>871410</v>
      </c>
      <c r="U275" s="18">
        <f t="shared" si="97"/>
        <v>0</v>
      </c>
      <c r="V275" s="18">
        <f t="shared" si="98"/>
        <v>871410</v>
      </c>
      <c r="W275" s="18">
        <f>K275-V275</f>
        <v>50896</v>
      </c>
      <c r="X275" s="18">
        <f t="shared" si="99"/>
        <v>871410</v>
      </c>
      <c r="Y275" s="18">
        <f t="shared" si="100"/>
        <v>0</v>
      </c>
      <c r="Z275" s="18">
        <f t="shared" si="101"/>
        <v>871410</v>
      </c>
      <c r="AA275" s="18">
        <f>K275-Z275</f>
        <v>50896</v>
      </c>
      <c r="AB275" s="223">
        <v>0</v>
      </c>
      <c r="AC275" s="44" t="s">
        <v>1301</v>
      </c>
      <c r="AD275" s="859"/>
      <c r="AE275" s="69">
        <v>0</v>
      </c>
      <c r="AF275" s="69">
        <v>0</v>
      </c>
      <c r="AG275" s="69" t="s">
        <v>53</v>
      </c>
      <c r="AH275" s="69" t="s">
        <v>53</v>
      </c>
      <c r="AI275" s="69" t="s">
        <v>53</v>
      </c>
      <c r="AJ275" s="69" t="s">
        <v>54</v>
      </c>
      <c r="AK275" s="860"/>
      <c r="AL275" s="7"/>
      <c r="AM275" s="7"/>
      <c r="AN275" s="7"/>
      <c r="AO275" s="7"/>
      <c r="AP275" s="7"/>
      <c r="AQ275" s="7"/>
      <c r="AR275" s="7"/>
      <c r="AS275" s="7"/>
      <c r="AT275" s="7"/>
      <c r="AU275" s="7"/>
      <c r="AV275" s="7"/>
      <c r="AW275" s="7"/>
      <c r="AX275" s="85">
        <f>SUM(AL275:AW275)</f>
        <v>0</v>
      </c>
      <c r="AY275" s="9"/>
      <c r="AZ275" s="9"/>
      <c r="BA275" s="9"/>
      <c r="BB275" s="9"/>
      <c r="BC275" s="9"/>
      <c r="BD275" s="9">
        <v>113800</v>
      </c>
      <c r="BE275" s="9">
        <v>116750</v>
      </c>
      <c r="BF275" s="9">
        <v>169700</v>
      </c>
      <c r="BG275" s="9">
        <v>54180</v>
      </c>
      <c r="BH275" s="9">
        <v>248630</v>
      </c>
      <c r="BI275" s="9">
        <v>168350</v>
      </c>
      <c r="BJ275" s="9"/>
      <c r="BK275" s="85">
        <f>SUM(AY275:BJ275)</f>
        <v>871410</v>
      </c>
      <c r="BL275" s="220"/>
      <c r="BM275" s="39"/>
      <c r="BN275" s="39"/>
      <c r="BO275" s="39"/>
      <c r="BP275" s="39"/>
      <c r="BQ275" s="39"/>
      <c r="BR275" s="39"/>
      <c r="BS275" s="39"/>
      <c r="BT275" s="39"/>
      <c r="BU275" s="39"/>
      <c r="BV275" s="39"/>
      <c r="BW275" s="52"/>
      <c r="BX275" s="87">
        <f t="shared" si="102"/>
        <v>0</v>
      </c>
      <c r="BY275" s="112"/>
      <c r="BZ275" s="112"/>
      <c r="CA275" s="112"/>
      <c r="CB275" s="112"/>
      <c r="CC275" s="112"/>
      <c r="CD275" s="112"/>
      <c r="CE275" s="112"/>
      <c r="CF275" s="112"/>
      <c r="CG275" s="112"/>
      <c r="CH275" s="112"/>
      <c r="CI275" s="112"/>
      <c r="CJ275" s="112"/>
      <c r="CK275" s="112">
        <f t="shared" si="103"/>
        <v>0</v>
      </c>
      <c r="DC275" s="4"/>
      <c r="DD275" s="4"/>
      <c r="DE275" s="4"/>
      <c r="DF275" s="4"/>
      <c r="DG275" s="4"/>
      <c r="DH275" s="4"/>
      <c r="DI275" s="4"/>
      <c r="DJ275" s="4"/>
      <c r="DK275" s="4"/>
      <c r="DL275" s="4"/>
      <c r="DM275" s="4"/>
      <c r="DN275" s="4"/>
      <c r="DO275" s="4">
        <f t="shared" si="90"/>
        <v>0</v>
      </c>
    </row>
    <row r="276" spans="1:119" s="10" customFormat="1" ht="33" customHeight="1" x14ac:dyDescent="0.2">
      <c r="A276" s="860"/>
      <c r="B276" s="860"/>
      <c r="C276" s="859"/>
      <c r="D276" s="277" t="s">
        <v>126</v>
      </c>
      <c r="E276" s="4" t="s">
        <v>125</v>
      </c>
      <c r="F276" s="4" t="s">
        <v>49</v>
      </c>
      <c r="G276" s="860"/>
      <c r="H276" s="860"/>
      <c r="I276" s="266">
        <v>43650</v>
      </c>
      <c r="J276" s="270">
        <v>44746</v>
      </c>
      <c r="K276" s="275" t="s">
        <v>128</v>
      </c>
      <c r="L276" s="221"/>
      <c r="M276" s="18">
        <f t="shared" si="91"/>
        <v>244635.29099999997</v>
      </c>
      <c r="N276" s="18">
        <f t="shared" si="92"/>
        <v>244635.29099999997</v>
      </c>
      <c r="O276" s="222"/>
      <c r="P276" s="18">
        <f t="shared" si="93"/>
        <v>244635.29099999997</v>
      </c>
      <c r="Q276" s="18">
        <f t="shared" si="94"/>
        <v>88442.658999999985</v>
      </c>
      <c r="R276" s="18">
        <f t="shared" si="95"/>
        <v>333077.94999999995</v>
      </c>
      <c r="S276" s="18"/>
      <c r="T276" s="21">
        <f t="shared" si="96"/>
        <v>333077.94999999995</v>
      </c>
      <c r="U276" s="18">
        <f t="shared" si="97"/>
        <v>0</v>
      </c>
      <c r="V276" s="18">
        <f t="shared" si="98"/>
        <v>333077.94999999995</v>
      </c>
      <c r="W276" s="18"/>
      <c r="X276" s="18">
        <f t="shared" si="99"/>
        <v>333077.94999999995</v>
      </c>
      <c r="Y276" s="18">
        <f t="shared" si="100"/>
        <v>0</v>
      </c>
      <c r="Z276" s="18">
        <f t="shared" si="101"/>
        <v>333077.94999999995</v>
      </c>
      <c r="AA276" s="18"/>
      <c r="AB276" s="223">
        <v>0</v>
      </c>
      <c r="AC276" s="44">
        <v>36</v>
      </c>
      <c r="AD276" s="859"/>
      <c r="AE276" s="69">
        <v>0</v>
      </c>
      <c r="AF276" s="69">
        <v>0</v>
      </c>
      <c r="AG276" s="69" t="s">
        <v>53</v>
      </c>
      <c r="AH276" s="69" t="s">
        <v>53</v>
      </c>
      <c r="AI276" s="69" t="s">
        <v>53</v>
      </c>
      <c r="AJ276" s="69" t="s">
        <v>54</v>
      </c>
      <c r="AK276" s="860"/>
      <c r="AL276" s="7"/>
      <c r="AM276" s="7"/>
      <c r="AN276" s="7"/>
      <c r="AO276" s="7"/>
      <c r="AP276" s="7"/>
      <c r="AQ276" s="7">
        <v>188560.95749999999</v>
      </c>
      <c r="AR276" s="7"/>
      <c r="AS276" s="7">
        <v>56074.333499999993</v>
      </c>
      <c r="AT276" s="7"/>
      <c r="AU276" s="7"/>
      <c r="AV276" s="7"/>
      <c r="AW276" s="7"/>
      <c r="AX276" s="85">
        <f>SUM(AL276:AW276)</f>
        <v>244635.29099999997</v>
      </c>
      <c r="AY276" s="9"/>
      <c r="AZ276" s="9"/>
      <c r="BA276" s="9"/>
      <c r="BB276" s="9">
        <v>25419.094000000001</v>
      </c>
      <c r="BC276" s="9"/>
      <c r="BD276" s="9">
        <v>2377.0499999999997</v>
      </c>
      <c r="BE276" s="9"/>
      <c r="BF276" s="9">
        <v>60646.514999999992</v>
      </c>
      <c r="BG276" s="9"/>
      <c r="BH276" s="9"/>
      <c r="BI276" s="9"/>
      <c r="BJ276" s="9"/>
      <c r="BK276" s="85">
        <f>SUM(AY276:BJ276)</f>
        <v>88442.658999999985</v>
      </c>
      <c r="BL276" s="220"/>
      <c r="BM276" s="39"/>
      <c r="BN276" s="39"/>
      <c r="BO276" s="39"/>
      <c r="BP276" s="39"/>
      <c r="BQ276" s="39"/>
      <c r="BR276" s="39"/>
      <c r="BS276" s="39"/>
      <c r="BT276" s="39"/>
      <c r="BU276" s="39"/>
      <c r="BV276" s="39"/>
      <c r="BW276" s="52"/>
      <c r="BX276" s="87">
        <f t="shared" si="102"/>
        <v>0</v>
      </c>
      <c r="BY276" s="112"/>
      <c r="BZ276" s="112"/>
      <c r="CA276" s="112"/>
      <c r="CB276" s="112"/>
      <c r="CC276" s="112"/>
      <c r="CD276" s="112"/>
      <c r="CE276" s="112"/>
      <c r="CF276" s="112"/>
      <c r="CG276" s="112"/>
      <c r="CH276" s="112"/>
      <c r="CI276" s="112"/>
      <c r="CJ276" s="112"/>
      <c r="CK276" s="112">
        <f t="shared" si="103"/>
        <v>0</v>
      </c>
      <c r="DC276" s="4"/>
      <c r="DD276" s="4"/>
      <c r="DE276" s="4"/>
      <c r="DF276" s="4"/>
      <c r="DG276" s="4"/>
      <c r="DH276" s="4"/>
      <c r="DI276" s="4"/>
      <c r="DJ276" s="4"/>
      <c r="DK276" s="4"/>
      <c r="DL276" s="4"/>
      <c r="DM276" s="4"/>
      <c r="DN276" s="4"/>
      <c r="DO276" s="4">
        <f t="shared" si="90"/>
        <v>0</v>
      </c>
    </row>
    <row r="277" spans="1:119" s="10" customFormat="1" ht="33" customHeight="1" x14ac:dyDescent="0.2">
      <c r="A277" s="860"/>
      <c r="B277" s="860"/>
      <c r="C277" s="859"/>
      <c r="D277" s="6"/>
      <c r="E277" s="4" t="s">
        <v>127</v>
      </c>
      <c r="F277" s="4" t="s">
        <v>49</v>
      </c>
      <c r="G277" s="860"/>
      <c r="H277" s="860"/>
      <c r="I277" s="4"/>
      <c r="J277" s="4"/>
      <c r="K277" s="225"/>
      <c r="L277" s="4"/>
      <c r="M277" s="18">
        <f t="shared" si="91"/>
        <v>0</v>
      </c>
      <c r="N277" s="18">
        <f t="shared" si="92"/>
        <v>0</v>
      </c>
      <c r="O277" s="222">
        <f>K277-N277</f>
        <v>0</v>
      </c>
      <c r="P277" s="18">
        <f t="shared" si="93"/>
        <v>0</v>
      </c>
      <c r="Q277" s="18">
        <f t="shared" si="94"/>
        <v>0</v>
      </c>
      <c r="R277" s="18">
        <f t="shared" si="95"/>
        <v>0</v>
      </c>
      <c r="S277" s="18">
        <f>K277-R277</f>
        <v>0</v>
      </c>
      <c r="T277" s="21">
        <f t="shared" si="96"/>
        <v>0</v>
      </c>
      <c r="U277" s="18">
        <f t="shared" si="97"/>
        <v>0</v>
      </c>
      <c r="V277" s="18">
        <f t="shared" si="98"/>
        <v>0</v>
      </c>
      <c r="W277" s="18">
        <f>K277-V277</f>
        <v>0</v>
      </c>
      <c r="X277" s="18">
        <f t="shared" si="99"/>
        <v>0</v>
      </c>
      <c r="Y277" s="18">
        <f t="shared" si="100"/>
        <v>0</v>
      </c>
      <c r="Z277" s="18">
        <f t="shared" si="101"/>
        <v>0</v>
      </c>
      <c r="AA277" s="18">
        <f>K277-Z277</f>
        <v>0</v>
      </c>
      <c r="AB277" s="4"/>
      <c r="AC277" s="44"/>
      <c r="AD277" s="44"/>
      <c r="AE277" s="69"/>
      <c r="AF277" s="69"/>
      <c r="AG277" s="69"/>
      <c r="AH277" s="69"/>
      <c r="AI277" s="69"/>
      <c r="AJ277" s="69"/>
      <c r="AK277" s="860"/>
      <c r="AL277" s="4"/>
      <c r="AM277" s="4"/>
      <c r="AN277" s="4"/>
      <c r="AO277" s="4"/>
      <c r="AP277" s="4"/>
      <c r="AQ277" s="4"/>
      <c r="AR277" s="4"/>
      <c r="AS277" s="4"/>
      <c r="AT277" s="4"/>
      <c r="AU277" s="4"/>
      <c r="AV277" s="4"/>
      <c r="AW277" s="4"/>
      <c r="AX277" s="226"/>
      <c r="AY277" s="4"/>
      <c r="AZ277" s="4"/>
      <c r="BA277" s="4"/>
      <c r="BB277" s="4"/>
      <c r="BC277" s="4"/>
      <c r="BD277" s="4"/>
      <c r="BE277" s="4"/>
      <c r="BF277" s="4"/>
      <c r="BG277" s="4"/>
      <c r="BH277" s="4"/>
      <c r="BI277" s="4"/>
      <c r="BJ277" s="4"/>
      <c r="BK277" s="226"/>
      <c r="BL277" s="4"/>
      <c r="BM277" s="4"/>
      <c r="BN277" s="4"/>
      <c r="BO277" s="4"/>
      <c r="BP277" s="4"/>
      <c r="BQ277" s="4"/>
      <c r="BR277" s="4"/>
      <c r="BS277" s="4"/>
      <c r="BT277" s="4"/>
      <c r="BU277" s="4"/>
      <c r="BV277" s="4"/>
      <c r="BW277" s="4"/>
      <c r="BX277" s="226"/>
      <c r="BY277" s="112"/>
      <c r="BZ277" s="112"/>
      <c r="CA277" s="112"/>
      <c r="CB277" s="112"/>
      <c r="CC277" s="112"/>
      <c r="CD277" s="112"/>
      <c r="CE277" s="112"/>
      <c r="CF277" s="112"/>
      <c r="CG277" s="112"/>
      <c r="CH277" s="112"/>
      <c r="CI277" s="112"/>
      <c r="CJ277" s="112"/>
      <c r="CK277" s="112">
        <f t="shared" si="103"/>
        <v>0</v>
      </c>
      <c r="DC277" s="4"/>
      <c r="DD277" s="4"/>
      <c r="DE277" s="4"/>
      <c r="DF277" s="4"/>
      <c r="DG277" s="4"/>
      <c r="DH277" s="4"/>
      <c r="DI277" s="4"/>
      <c r="DJ277" s="4"/>
      <c r="DK277" s="4"/>
      <c r="DL277" s="4"/>
      <c r="DM277" s="4"/>
      <c r="DN277" s="4"/>
      <c r="DO277" s="4">
        <f t="shared" si="90"/>
        <v>0</v>
      </c>
    </row>
    <row r="278" spans="1:119" s="10" customFormat="1" ht="30.75" customHeight="1" x14ac:dyDescent="0.2">
      <c r="A278" s="44" t="s">
        <v>160</v>
      </c>
      <c r="B278" s="860" t="s">
        <v>57</v>
      </c>
      <c r="C278" s="859" t="s">
        <v>161</v>
      </c>
      <c r="D278" s="239" t="s">
        <v>162</v>
      </c>
      <c r="E278" s="4" t="s">
        <v>163</v>
      </c>
      <c r="F278" s="4" t="s">
        <v>49</v>
      </c>
      <c r="G278" s="860" t="s">
        <v>50</v>
      </c>
      <c r="H278" s="860" t="s">
        <v>61</v>
      </c>
      <c r="I278" s="266">
        <v>43956</v>
      </c>
      <c r="J278" s="58">
        <v>44140</v>
      </c>
      <c r="K278" s="204">
        <v>3948459.17</v>
      </c>
      <c r="L278" s="148"/>
      <c r="M278" s="18">
        <f t="shared" si="91"/>
        <v>0</v>
      </c>
      <c r="N278" s="18">
        <f t="shared" si="92"/>
        <v>0</v>
      </c>
      <c r="O278" s="149">
        <f>K278-N278</f>
        <v>3948459.17</v>
      </c>
      <c r="P278" s="154">
        <f t="shared" si="93"/>
        <v>0</v>
      </c>
      <c r="Q278" s="66">
        <f t="shared" si="94"/>
        <v>3782341.6854999992</v>
      </c>
      <c r="R278" s="18">
        <f t="shared" si="95"/>
        <v>3782341.6854999992</v>
      </c>
      <c r="S278" s="156">
        <f>K278-R278</f>
        <v>166117.48450000072</v>
      </c>
      <c r="T278" s="160">
        <f t="shared" si="96"/>
        <v>3782341.6854999992</v>
      </c>
      <c r="U278" s="18">
        <f t="shared" si="97"/>
        <v>199070.61</v>
      </c>
      <c r="V278" s="18">
        <f t="shared" si="98"/>
        <v>3981412.2954999991</v>
      </c>
      <c r="W278" s="216">
        <f>K278-V278</f>
        <v>-32953.125499999151</v>
      </c>
      <c r="X278" s="18">
        <f t="shared" si="99"/>
        <v>3981412.2954999991</v>
      </c>
      <c r="Y278" s="18">
        <f t="shared" si="100"/>
        <v>0</v>
      </c>
      <c r="Z278" s="18">
        <f t="shared" si="101"/>
        <v>3981412.2954999991</v>
      </c>
      <c r="AA278" s="18">
        <f>K278-Z278</f>
        <v>-32953.125499999151</v>
      </c>
      <c r="AB278" s="158">
        <v>0</v>
      </c>
      <c r="AC278" s="44">
        <v>6</v>
      </c>
      <c r="AD278" s="863" t="s">
        <v>517</v>
      </c>
      <c r="AE278" s="69">
        <v>0</v>
      </c>
      <c r="AF278" s="69">
        <v>0</v>
      </c>
      <c r="AG278" s="69" t="s">
        <v>53</v>
      </c>
      <c r="AH278" s="69" t="s">
        <v>53</v>
      </c>
      <c r="AI278" s="69" t="s">
        <v>53</v>
      </c>
      <c r="AJ278" s="69" t="s">
        <v>54</v>
      </c>
      <c r="AK278" s="866" t="s">
        <v>70</v>
      </c>
      <c r="AL278" s="7"/>
      <c r="AM278" s="7"/>
      <c r="AN278" s="7"/>
      <c r="AO278" s="7"/>
      <c r="AP278" s="7"/>
      <c r="AQ278" s="7"/>
      <c r="AR278" s="7"/>
      <c r="AS278" s="7"/>
      <c r="AT278" s="7"/>
      <c r="AU278" s="7"/>
      <c r="AV278" s="7"/>
      <c r="AW278" s="7"/>
      <c r="AX278" s="85">
        <f>SUM(AL278:AW278)</f>
        <v>0</v>
      </c>
      <c r="AY278" s="9">
        <v>547615.18799999997</v>
      </c>
      <c r="AZ278" s="9"/>
      <c r="BA278" s="9">
        <v>357899.64199999999</v>
      </c>
      <c r="BB278" s="9">
        <v>647270.88749999995</v>
      </c>
      <c r="BC278" s="9">
        <v>670906.25099999993</v>
      </c>
      <c r="BD278" s="9">
        <v>364363.47</v>
      </c>
      <c r="BE278" s="9"/>
      <c r="BF278" s="9"/>
      <c r="BG278" s="9">
        <v>740212.33499999996</v>
      </c>
      <c r="BH278" s="9"/>
      <c r="BI278" s="9">
        <v>454073.91200000001</v>
      </c>
      <c r="BJ278" s="9"/>
      <c r="BK278" s="85">
        <f t="shared" ref="BK278:BK284" si="104">SUM(AY278:BJ278)</f>
        <v>3782341.6854999992</v>
      </c>
      <c r="BL278" s="39"/>
      <c r="BM278" s="39"/>
      <c r="BN278" s="39"/>
      <c r="BO278" s="39"/>
      <c r="BP278" s="39"/>
      <c r="BQ278" s="39">
        <v>199070.61</v>
      </c>
      <c r="BR278" s="39"/>
      <c r="BS278" s="39"/>
      <c r="BT278" s="39"/>
      <c r="BU278" s="39"/>
      <c r="BV278" s="39"/>
      <c r="BW278" s="52"/>
      <c r="BX278" s="87">
        <f t="shared" ref="BX278:BX285" si="105">SUM(BL278:BW278)</f>
        <v>199070.61</v>
      </c>
      <c r="BY278" s="112"/>
      <c r="BZ278" s="112"/>
      <c r="CA278" s="112"/>
      <c r="CB278" s="112"/>
      <c r="CC278" s="112"/>
      <c r="CD278" s="112"/>
      <c r="CE278" s="112"/>
      <c r="CF278" s="112"/>
      <c r="CG278" s="112"/>
      <c r="CH278" s="112"/>
      <c r="CI278" s="112"/>
      <c r="CJ278" s="112"/>
      <c r="CK278" s="112">
        <f t="shared" si="103"/>
        <v>0</v>
      </c>
      <c r="DC278" s="4"/>
      <c r="DD278" s="4"/>
      <c r="DE278" s="4"/>
      <c r="DF278" s="4"/>
      <c r="DG278" s="4"/>
      <c r="DH278" s="4"/>
      <c r="DI278" s="4"/>
      <c r="DJ278" s="4"/>
      <c r="DK278" s="4"/>
      <c r="DL278" s="4"/>
      <c r="DM278" s="4"/>
      <c r="DN278" s="4"/>
      <c r="DO278" s="4">
        <f t="shared" si="90"/>
        <v>0</v>
      </c>
    </row>
    <row r="279" spans="1:119" s="10" customFormat="1" ht="30.75" customHeight="1" x14ac:dyDescent="0.2">
      <c r="A279" s="44"/>
      <c r="B279" s="860"/>
      <c r="C279" s="859"/>
      <c r="D279" s="4" t="s">
        <v>87</v>
      </c>
      <c r="E279" s="4" t="s">
        <v>88</v>
      </c>
      <c r="F279" s="4" t="s">
        <v>49</v>
      </c>
      <c r="G279" s="860"/>
      <c r="H279" s="860"/>
      <c r="I279" s="5">
        <v>43650</v>
      </c>
      <c r="J279" s="58">
        <v>44746</v>
      </c>
      <c r="K279" s="199" t="s">
        <v>164</v>
      </c>
      <c r="L279" s="148"/>
      <c r="M279" s="18">
        <f t="shared" si="91"/>
        <v>365248.30299999996</v>
      </c>
      <c r="N279" s="18">
        <f t="shared" si="92"/>
        <v>365248.30299999996</v>
      </c>
      <c r="O279" s="149"/>
      <c r="P279" s="154">
        <f t="shared" si="93"/>
        <v>365248.30299999996</v>
      </c>
      <c r="Q279" s="66">
        <f t="shared" si="94"/>
        <v>142144.51949999999</v>
      </c>
      <c r="R279" s="18">
        <f t="shared" si="95"/>
        <v>507392.82249999995</v>
      </c>
      <c r="S279" s="156"/>
      <c r="T279" s="160">
        <f t="shared" si="96"/>
        <v>507392.82249999995</v>
      </c>
      <c r="U279" s="18">
        <f t="shared" si="97"/>
        <v>71060.420499999993</v>
      </c>
      <c r="V279" s="18">
        <f t="shared" si="98"/>
        <v>578453.2429999999</v>
      </c>
      <c r="W279" s="216"/>
      <c r="X279" s="18">
        <f t="shared" si="99"/>
        <v>578453.2429999999</v>
      </c>
      <c r="Y279" s="18">
        <f t="shared" si="100"/>
        <v>0</v>
      </c>
      <c r="Z279" s="18">
        <f t="shared" si="101"/>
        <v>578453.2429999999</v>
      </c>
      <c r="AA279" s="18"/>
      <c r="AB279" s="158">
        <v>0</v>
      </c>
      <c r="AC279" s="44">
        <v>36</v>
      </c>
      <c r="AD279" s="865"/>
      <c r="AE279" s="69">
        <v>0</v>
      </c>
      <c r="AF279" s="69">
        <v>0</v>
      </c>
      <c r="AG279" s="69" t="s">
        <v>53</v>
      </c>
      <c r="AH279" s="69" t="s">
        <v>53</v>
      </c>
      <c r="AI279" s="69" t="s">
        <v>53</v>
      </c>
      <c r="AJ279" s="69" t="s">
        <v>54</v>
      </c>
      <c r="AK279" s="868"/>
      <c r="AL279" s="7"/>
      <c r="AM279" s="7"/>
      <c r="AN279" s="7"/>
      <c r="AO279" s="7"/>
      <c r="AP279" s="7"/>
      <c r="AQ279" s="7"/>
      <c r="AR279" s="7"/>
      <c r="AS279" s="7"/>
      <c r="AT279" s="7"/>
      <c r="AU279" s="7"/>
      <c r="AV279" s="7"/>
      <c r="AW279" s="7">
        <v>365248.30299999996</v>
      </c>
      <c r="AX279" s="85">
        <f>SUM(AL279:AW279)</f>
        <v>365248.30299999996</v>
      </c>
      <c r="AY279" s="9"/>
      <c r="AZ279" s="9"/>
      <c r="BA279" s="9"/>
      <c r="BB279" s="9"/>
      <c r="BC279" s="9">
        <v>106608.3925</v>
      </c>
      <c r="BD279" s="9"/>
      <c r="BE279" s="9"/>
      <c r="BF279" s="9"/>
      <c r="BG279" s="9"/>
      <c r="BH279" s="9">
        <v>35536.127</v>
      </c>
      <c r="BI279" s="9"/>
      <c r="BJ279" s="9"/>
      <c r="BK279" s="85">
        <f t="shared" si="104"/>
        <v>142144.51949999999</v>
      </c>
      <c r="BL279" s="39"/>
      <c r="BM279" s="39"/>
      <c r="BN279" s="39"/>
      <c r="BO279" s="39"/>
      <c r="BP279" s="39">
        <v>71060.420499999993</v>
      </c>
      <c r="BQ279" s="39"/>
      <c r="BR279" s="39"/>
      <c r="BS279" s="39"/>
      <c r="BT279" s="39"/>
      <c r="BU279" s="39"/>
      <c r="BV279" s="39"/>
      <c r="BW279" s="52"/>
      <c r="BX279" s="87">
        <f t="shared" si="105"/>
        <v>71060.420499999993</v>
      </c>
      <c r="BY279" s="112"/>
      <c r="BZ279" s="112"/>
      <c r="CA279" s="112"/>
      <c r="CB279" s="112"/>
      <c r="CC279" s="112"/>
      <c r="CD279" s="112"/>
      <c r="CE279" s="112"/>
      <c r="CF279" s="112"/>
      <c r="CG279" s="112"/>
      <c r="CH279" s="112"/>
      <c r="CI279" s="112"/>
      <c r="CJ279" s="112"/>
      <c r="CK279" s="112">
        <f t="shared" si="103"/>
        <v>0</v>
      </c>
      <c r="DC279" s="4"/>
      <c r="DD279" s="4"/>
      <c r="DE279" s="4"/>
      <c r="DF279" s="4"/>
      <c r="DG279" s="4"/>
      <c r="DH279" s="4"/>
      <c r="DI279" s="4"/>
      <c r="DJ279" s="4"/>
      <c r="DK279" s="4"/>
      <c r="DL279" s="4"/>
      <c r="DM279" s="4"/>
      <c r="DN279" s="4"/>
      <c r="DO279" s="4">
        <f t="shared" si="90"/>
        <v>0</v>
      </c>
    </row>
    <row r="280" spans="1:119" s="10" customFormat="1" ht="26.25" customHeight="1" x14ac:dyDescent="0.2">
      <c r="A280" s="859" t="s">
        <v>165</v>
      </c>
      <c r="B280" s="860" t="s">
        <v>57</v>
      </c>
      <c r="C280" s="859" t="s">
        <v>166</v>
      </c>
      <c r="D280" s="239" t="s">
        <v>167</v>
      </c>
      <c r="E280" s="4" t="s">
        <v>168</v>
      </c>
      <c r="F280" s="4" t="s">
        <v>49</v>
      </c>
      <c r="G280" s="860" t="s">
        <v>50</v>
      </c>
      <c r="H280" s="866" t="s">
        <v>61</v>
      </c>
      <c r="I280" s="266">
        <v>43956</v>
      </c>
      <c r="J280" s="58">
        <v>44140</v>
      </c>
      <c r="K280" s="240">
        <v>3734379</v>
      </c>
      <c r="L280" s="148"/>
      <c r="M280" s="18">
        <f t="shared" si="91"/>
        <v>272994.25</v>
      </c>
      <c r="N280" s="18">
        <f t="shared" si="92"/>
        <v>272994.25</v>
      </c>
      <c r="O280" s="149">
        <f>K280-N280</f>
        <v>3461384.75</v>
      </c>
      <c r="P280" s="154">
        <f t="shared" si="93"/>
        <v>272994.25</v>
      </c>
      <c r="Q280" s="66">
        <f t="shared" si="94"/>
        <v>3544641.9000000004</v>
      </c>
      <c r="R280" s="18">
        <f t="shared" si="95"/>
        <v>3817636.1500000004</v>
      </c>
      <c r="S280" s="156">
        <f>K280-R280</f>
        <v>-83257.150000000373</v>
      </c>
      <c r="T280" s="160">
        <f t="shared" si="96"/>
        <v>3817636.1500000004</v>
      </c>
      <c r="U280" s="18">
        <f t="shared" si="97"/>
        <v>0</v>
      </c>
      <c r="V280" s="18">
        <f t="shared" si="98"/>
        <v>3817636.1500000004</v>
      </c>
      <c r="W280" s="216">
        <f>K280-V280</f>
        <v>-83257.150000000373</v>
      </c>
      <c r="X280" s="18">
        <f t="shared" si="99"/>
        <v>3817636.1500000004</v>
      </c>
      <c r="Y280" s="18">
        <f t="shared" si="100"/>
        <v>191239.69</v>
      </c>
      <c r="Z280" s="18">
        <f t="shared" si="101"/>
        <v>4008875.8400000003</v>
      </c>
      <c r="AA280" s="18">
        <f>K280-Z280</f>
        <v>-274496.84000000032</v>
      </c>
      <c r="AB280" s="158">
        <v>0</v>
      </c>
      <c r="AC280" s="44">
        <v>6</v>
      </c>
      <c r="AD280" s="863" t="s">
        <v>517</v>
      </c>
      <c r="AE280" s="69">
        <v>0</v>
      </c>
      <c r="AF280" s="69">
        <v>0</v>
      </c>
      <c r="AG280" s="69" t="s">
        <v>53</v>
      </c>
      <c r="AH280" s="69" t="s">
        <v>53</v>
      </c>
      <c r="AI280" s="69" t="s">
        <v>53</v>
      </c>
      <c r="AJ280" s="69" t="s">
        <v>54</v>
      </c>
      <c r="AK280" s="866" t="s">
        <v>70</v>
      </c>
      <c r="AL280" s="7"/>
      <c r="AM280" s="7"/>
      <c r="AN280" s="7"/>
      <c r="AO280" s="7"/>
      <c r="AP280" s="7"/>
      <c r="AQ280" s="7"/>
      <c r="AR280" s="7"/>
      <c r="AS280" s="7"/>
      <c r="AT280" s="7"/>
      <c r="AU280" s="7"/>
      <c r="AV280" s="7"/>
      <c r="AW280" s="7">
        <v>272994.25</v>
      </c>
      <c r="AX280" s="85">
        <f>SUM(AL280:AW280)</f>
        <v>272994.25</v>
      </c>
      <c r="AY280" s="9">
        <v>463847.02</v>
      </c>
      <c r="AZ280" s="9"/>
      <c r="BA280" s="9">
        <v>363355.5</v>
      </c>
      <c r="BB280" s="9">
        <v>596970</v>
      </c>
      <c r="BC280" s="9">
        <v>600362.26</v>
      </c>
      <c r="BD280" s="9">
        <v>372194</v>
      </c>
      <c r="BE280" s="9">
        <v>86743</v>
      </c>
      <c r="BF280" s="9"/>
      <c r="BG280" s="9">
        <f>828036.22+233133.9</f>
        <v>1061170.1199999999</v>
      </c>
      <c r="BH280" s="9"/>
      <c r="BI280" s="9"/>
      <c r="BJ280" s="9"/>
      <c r="BK280" s="85">
        <f t="shared" si="104"/>
        <v>3544641.9000000004</v>
      </c>
      <c r="BL280" s="39"/>
      <c r="BM280" s="39"/>
      <c r="BN280" s="39"/>
      <c r="BO280" s="39"/>
      <c r="BP280" s="39"/>
      <c r="BQ280" s="39"/>
      <c r="BR280" s="39"/>
      <c r="BS280" s="39"/>
      <c r="BT280" s="39"/>
      <c r="BU280" s="39"/>
      <c r="BV280" s="39"/>
      <c r="BW280" s="52"/>
      <c r="BX280" s="87">
        <f t="shared" si="105"/>
        <v>0</v>
      </c>
      <c r="BY280" s="112"/>
      <c r="BZ280" s="112"/>
      <c r="CA280" s="112"/>
      <c r="CB280" s="112"/>
      <c r="CC280" s="291">
        <v>191239.69</v>
      </c>
      <c r="CD280" s="112"/>
      <c r="CE280" s="112"/>
      <c r="CF280" s="112"/>
      <c r="CG280" s="112"/>
      <c r="CH280" s="112"/>
      <c r="CI280" s="112"/>
      <c r="CJ280" s="112"/>
      <c r="CK280" s="112">
        <f t="shared" si="103"/>
        <v>191239.69</v>
      </c>
      <c r="DC280" s="4"/>
      <c r="DD280" s="4"/>
      <c r="DE280" s="4"/>
      <c r="DF280" s="4"/>
      <c r="DG280" s="4"/>
      <c r="DH280" s="4"/>
      <c r="DI280" s="4"/>
      <c r="DJ280" s="4"/>
      <c r="DK280" s="4"/>
      <c r="DL280" s="4"/>
      <c r="DM280" s="4"/>
      <c r="DN280" s="4"/>
      <c r="DO280" s="4">
        <f t="shared" si="90"/>
        <v>0</v>
      </c>
    </row>
    <row r="281" spans="1:119" s="10" customFormat="1" ht="26.25" customHeight="1" x14ac:dyDescent="0.2">
      <c r="A281" s="859"/>
      <c r="B281" s="860"/>
      <c r="C281" s="859"/>
      <c r="D281" s="4" t="s">
        <v>169</v>
      </c>
      <c r="E281" s="4" t="s">
        <v>170</v>
      </c>
      <c r="F281" s="4" t="s">
        <v>49</v>
      </c>
      <c r="G281" s="860"/>
      <c r="H281" s="867"/>
      <c r="I281" s="5">
        <v>44140</v>
      </c>
      <c r="J281" s="58">
        <v>44260</v>
      </c>
      <c r="K281" s="195">
        <v>643971.25</v>
      </c>
      <c r="L281" s="148"/>
      <c r="M281" s="18">
        <f t="shared" si="91"/>
        <v>0</v>
      </c>
      <c r="N281" s="18">
        <f t="shared" si="92"/>
        <v>0</v>
      </c>
      <c r="O281" s="149">
        <f>K281-N281</f>
        <v>643971.25</v>
      </c>
      <c r="P281" s="154">
        <f t="shared" si="93"/>
        <v>0</v>
      </c>
      <c r="Q281" s="66">
        <f t="shared" si="94"/>
        <v>230370</v>
      </c>
      <c r="R281" s="18">
        <f t="shared" si="95"/>
        <v>230370</v>
      </c>
      <c r="S281" s="156">
        <f>K281-R281</f>
        <v>413601.25</v>
      </c>
      <c r="T281" s="160">
        <f t="shared" si="96"/>
        <v>230370</v>
      </c>
      <c r="U281" s="18">
        <f t="shared" si="97"/>
        <v>0</v>
      </c>
      <c r="V281" s="18">
        <f t="shared" si="98"/>
        <v>230370</v>
      </c>
      <c r="W281" s="216">
        <f>K281-V281</f>
        <v>413601.25</v>
      </c>
      <c r="X281" s="18">
        <f t="shared" si="99"/>
        <v>230370</v>
      </c>
      <c r="Y281" s="18">
        <f t="shared" si="100"/>
        <v>0</v>
      </c>
      <c r="Z281" s="18">
        <f t="shared" si="101"/>
        <v>230370</v>
      </c>
      <c r="AA281" s="18">
        <f>K281-Z281</f>
        <v>413601.25</v>
      </c>
      <c r="AB281" s="158">
        <v>0</v>
      </c>
      <c r="AC281" s="44">
        <v>4</v>
      </c>
      <c r="AD281" s="864"/>
      <c r="AE281" s="69">
        <v>0</v>
      </c>
      <c r="AF281" s="69">
        <v>0</v>
      </c>
      <c r="AG281" s="69" t="s">
        <v>53</v>
      </c>
      <c r="AH281" s="69" t="s">
        <v>53</v>
      </c>
      <c r="AI281" s="69" t="s">
        <v>53</v>
      </c>
      <c r="AJ281" s="69" t="s">
        <v>54</v>
      </c>
      <c r="AK281" s="867"/>
      <c r="AL281" s="7"/>
      <c r="AM281" s="7"/>
      <c r="AN281" s="7"/>
      <c r="AO281" s="7"/>
      <c r="AP281" s="7"/>
      <c r="AQ281" s="7"/>
      <c r="AR281" s="7"/>
      <c r="AS281" s="7"/>
      <c r="AT281" s="7"/>
      <c r="AU281" s="7"/>
      <c r="AV281" s="7"/>
      <c r="AW281" s="7"/>
      <c r="AX281" s="85">
        <f>SUM(AL281:AW281)</f>
        <v>0</v>
      </c>
      <c r="AY281" s="9"/>
      <c r="AZ281" s="9"/>
      <c r="BA281" s="9"/>
      <c r="BB281" s="9">
        <v>114800</v>
      </c>
      <c r="BC281" s="9">
        <v>22000</v>
      </c>
      <c r="BD281" s="9">
        <v>43000</v>
      </c>
      <c r="BE281" s="9">
        <v>50570</v>
      </c>
      <c r="BF281" s="9"/>
      <c r="BG281" s="9"/>
      <c r="BH281" s="9"/>
      <c r="BI281" s="9"/>
      <c r="BJ281" s="9"/>
      <c r="BK281" s="85">
        <f t="shared" si="104"/>
        <v>230370</v>
      </c>
      <c r="BL281" s="39"/>
      <c r="BM281" s="39"/>
      <c r="BN281" s="39"/>
      <c r="BO281" s="39"/>
      <c r="BP281" s="39"/>
      <c r="BQ281" s="39"/>
      <c r="BR281" s="39"/>
      <c r="BS281" s="39"/>
      <c r="BT281" s="39"/>
      <c r="BU281" s="39"/>
      <c r="BV281" s="39"/>
      <c r="BW281" s="52"/>
      <c r="BX281" s="87">
        <f t="shared" si="105"/>
        <v>0</v>
      </c>
      <c r="BY281" s="112"/>
      <c r="BZ281" s="112"/>
      <c r="CA281" s="112"/>
      <c r="CB281" s="112"/>
      <c r="CC281" s="112"/>
      <c r="CD281" s="112"/>
      <c r="CE281" s="112"/>
      <c r="CF281" s="112"/>
      <c r="CG281" s="112"/>
      <c r="CH281" s="112"/>
      <c r="CI281" s="112"/>
      <c r="CJ281" s="112"/>
      <c r="CK281" s="112">
        <f t="shared" si="103"/>
        <v>0</v>
      </c>
      <c r="DC281" s="4"/>
      <c r="DD281" s="4"/>
      <c r="DE281" s="4"/>
      <c r="DF281" s="4"/>
      <c r="DG281" s="4"/>
      <c r="DH281" s="4"/>
      <c r="DI281" s="4"/>
      <c r="DJ281" s="4"/>
      <c r="DK281" s="4"/>
      <c r="DL281" s="4"/>
      <c r="DM281" s="4"/>
      <c r="DN281" s="4"/>
      <c r="DO281" s="4">
        <f t="shared" si="90"/>
        <v>0</v>
      </c>
    </row>
    <row r="282" spans="1:119" s="10" customFormat="1" ht="26.25" customHeight="1" x14ac:dyDescent="0.2">
      <c r="A282" s="44"/>
      <c r="B282" s="860"/>
      <c r="C282" s="859"/>
      <c r="D282" s="239" t="s">
        <v>171</v>
      </c>
      <c r="E282" s="4" t="s">
        <v>172</v>
      </c>
      <c r="F282" s="4" t="s">
        <v>49</v>
      </c>
      <c r="G282" s="860"/>
      <c r="H282" s="868"/>
      <c r="I282" s="266">
        <v>43650</v>
      </c>
      <c r="J282" s="270">
        <v>44746</v>
      </c>
      <c r="K282" s="272" t="s">
        <v>173</v>
      </c>
      <c r="L282" s="148"/>
      <c r="M282" s="18">
        <f t="shared" si="91"/>
        <v>386114.0295</v>
      </c>
      <c r="N282" s="18">
        <f t="shared" si="92"/>
        <v>386114.0295</v>
      </c>
      <c r="O282" s="149"/>
      <c r="P282" s="154">
        <f t="shared" si="93"/>
        <v>386114.0295</v>
      </c>
      <c r="Q282" s="66">
        <f t="shared" si="94"/>
        <v>0</v>
      </c>
      <c r="R282" s="18">
        <f t="shared" si="95"/>
        <v>386114.0295</v>
      </c>
      <c r="S282" s="156"/>
      <c r="T282" s="160">
        <f t="shared" si="96"/>
        <v>386114.0295</v>
      </c>
      <c r="U282" s="18">
        <f t="shared" si="97"/>
        <v>0</v>
      </c>
      <c r="V282" s="18">
        <f t="shared" si="98"/>
        <v>386114.0295</v>
      </c>
      <c r="W282" s="216"/>
      <c r="X282" s="18">
        <f t="shared" si="99"/>
        <v>386114.0295</v>
      </c>
      <c r="Y282" s="18">
        <f t="shared" si="100"/>
        <v>272465.49</v>
      </c>
      <c r="Z282" s="18">
        <f t="shared" si="101"/>
        <v>658579.51949999994</v>
      </c>
      <c r="AA282" s="18"/>
      <c r="AB282" s="158">
        <v>0</v>
      </c>
      <c r="AC282" s="44">
        <v>36</v>
      </c>
      <c r="AD282" s="865"/>
      <c r="AE282" s="69">
        <v>0</v>
      </c>
      <c r="AF282" s="69">
        <v>0</v>
      </c>
      <c r="AG282" s="69" t="s">
        <v>53</v>
      </c>
      <c r="AH282" s="69" t="s">
        <v>53</v>
      </c>
      <c r="AI282" s="69" t="s">
        <v>53</v>
      </c>
      <c r="AJ282" s="69" t="s">
        <v>54</v>
      </c>
      <c r="AK282" s="868"/>
      <c r="AL282" s="7"/>
      <c r="AM282" s="7"/>
      <c r="AN282" s="7"/>
      <c r="AO282" s="7"/>
      <c r="AP282" s="7"/>
      <c r="AQ282" s="7"/>
      <c r="AR282" s="7"/>
      <c r="AS282" s="7"/>
      <c r="AT282" s="7"/>
      <c r="AU282" s="7"/>
      <c r="AV282" s="7">
        <v>386114.0295</v>
      </c>
      <c r="AW282" s="7"/>
      <c r="AX282" s="85">
        <f>SUM(AL282:AW282)</f>
        <v>386114.0295</v>
      </c>
      <c r="AY282" s="9"/>
      <c r="AZ282" s="9"/>
      <c r="BA282" s="9"/>
      <c r="BB282" s="9"/>
      <c r="BC282" s="9"/>
      <c r="BD282" s="9"/>
      <c r="BE282" s="9"/>
      <c r="BF282" s="9"/>
      <c r="BG282" s="9"/>
      <c r="BH282" s="9"/>
      <c r="BI282" s="9"/>
      <c r="BJ282" s="9"/>
      <c r="BK282" s="85">
        <f t="shared" si="104"/>
        <v>0</v>
      </c>
      <c r="BL282" s="39"/>
      <c r="BM282" s="39"/>
      <c r="BN282" s="39"/>
      <c r="BO282" s="39"/>
      <c r="BP282" s="39"/>
      <c r="BQ282" s="39"/>
      <c r="BR282" s="39"/>
      <c r="BS282" s="39"/>
      <c r="BT282" s="39"/>
      <c r="BU282" s="39"/>
      <c r="BV282" s="39"/>
      <c r="BW282" s="52"/>
      <c r="BX282" s="87">
        <f t="shared" si="105"/>
        <v>0</v>
      </c>
      <c r="BY282" s="112"/>
      <c r="BZ282" s="112"/>
      <c r="CA282" s="112"/>
      <c r="CB282" s="112"/>
      <c r="CC282" s="112"/>
      <c r="CD282" s="112"/>
      <c r="CE282" s="112"/>
      <c r="CF282" s="291">
        <v>272465.49</v>
      </c>
      <c r="CG282" s="112"/>
      <c r="CH282" s="112"/>
      <c r="CI282" s="112"/>
      <c r="CJ282" s="112"/>
      <c r="CK282" s="112">
        <f t="shared" si="103"/>
        <v>272465.49</v>
      </c>
      <c r="DC282" s="4"/>
      <c r="DD282" s="4"/>
      <c r="DE282" s="4"/>
      <c r="DF282" s="4"/>
      <c r="DG282" s="4"/>
      <c r="DH282" s="4"/>
      <c r="DI282" s="4"/>
      <c r="DJ282" s="4"/>
      <c r="DK282" s="4"/>
      <c r="DL282" s="4"/>
      <c r="DM282" s="4"/>
      <c r="DN282" s="4"/>
      <c r="DO282" s="4">
        <f t="shared" si="90"/>
        <v>0</v>
      </c>
    </row>
    <row r="283" spans="1:119" ht="25.9" customHeight="1" x14ac:dyDescent="0.25">
      <c r="A283" s="859" t="s">
        <v>89</v>
      </c>
      <c r="B283" s="860" t="s">
        <v>57</v>
      </c>
      <c r="C283" s="859" t="s">
        <v>90</v>
      </c>
      <c r="D283" s="239" t="s">
        <v>91</v>
      </c>
      <c r="E283" s="4" t="s">
        <v>92</v>
      </c>
      <c r="F283" s="4" t="s">
        <v>49</v>
      </c>
      <c r="G283" s="860" t="s">
        <v>50</v>
      </c>
      <c r="H283" s="860" t="s">
        <v>61</v>
      </c>
      <c r="I283" s="266">
        <v>43452</v>
      </c>
      <c r="J283" s="58">
        <v>43817</v>
      </c>
      <c r="K283" s="240">
        <v>8973271.1799999997</v>
      </c>
      <c r="L283" s="151">
        <v>4958898.34</v>
      </c>
      <c r="M283" s="18">
        <f t="shared" si="91"/>
        <v>4689889.1999999993</v>
      </c>
      <c r="N283" s="18">
        <f t="shared" si="92"/>
        <v>9648787.5399999991</v>
      </c>
      <c r="O283" s="149">
        <f>K283-N283</f>
        <v>-675516.3599999994</v>
      </c>
      <c r="P283" s="154">
        <f t="shared" si="93"/>
        <v>9648787.5399999991</v>
      </c>
      <c r="Q283" s="67">
        <f t="shared" si="94"/>
        <v>0</v>
      </c>
      <c r="R283" s="61">
        <f t="shared" si="95"/>
        <v>9648787.5399999991</v>
      </c>
      <c r="S283" s="155">
        <f>K283-R283</f>
        <v>-675516.3599999994</v>
      </c>
      <c r="T283" s="159">
        <f t="shared" si="96"/>
        <v>9648787.5399999991</v>
      </c>
      <c r="U283" s="61">
        <f t="shared" si="97"/>
        <v>0</v>
      </c>
      <c r="V283" s="61">
        <f t="shared" si="98"/>
        <v>9648787.5399999991</v>
      </c>
      <c r="W283" s="215">
        <f>K283-V283</f>
        <v>-675516.3599999994</v>
      </c>
      <c r="X283" s="246">
        <f t="shared" si="99"/>
        <v>9648787.5399999991</v>
      </c>
      <c r="Y283" s="18">
        <f t="shared" si="100"/>
        <v>0</v>
      </c>
      <c r="Z283" s="18">
        <f t="shared" si="101"/>
        <v>9648787.5399999991</v>
      </c>
      <c r="AA283" s="18">
        <f>K283-Z283</f>
        <v>-675516.3599999994</v>
      </c>
      <c r="AB283" s="158">
        <v>0</v>
      </c>
      <c r="AC283" s="44">
        <v>12</v>
      </c>
      <c r="AD283" s="863" t="s">
        <v>517</v>
      </c>
      <c r="AE283" s="69">
        <v>0</v>
      </c>
      <c r="AF283" s="69">
        <v>0</v>
      </c>
      <c r="AG283" s="69" t="s">
        <v>53</v>
      </c>
      <c r="AH283" s="69" t="s">
        <v>53</v>
      </c>
      <c r="AI283" s="69" t="s">
        <v>53</v>
      </c>
      <c r="AJ283" s="69" t="s">
        <v>54</v>
      </c>
      <c r="AK283" s="866" t="s">
        <v>83</v>
      </c>
      <c r="AL283" s="7">
        <v>856956.86</v>
      </c>
      <c r="AM283" s="7">
        <v>564108.57999999996</v>
      </c>
      <c r="AN283" s="7"/>
      <c r="AO283" s="7">
        <v>493536.76</v>
      </c>
      <c r="AP283" s="7">
        <v>764996.19</v>
      </c>
      <c r="AQ283" s="7">
        <v>1029887.06</v>
      </c>
      <c r="AR283" s="7">
        <f>207885.27+482439.38</f>
        <v>690324.65</v>
      </c>
      <c r="AS283" s="7">
        <v>290079.09999999998</v>
      </c>
      <c r="AT283" s="7"/>
      <c r="AU283" s="7"/>
      <c r="AV283" s="7"/>
      <c r="AW283" s="7"/>
      <c r="AX283" s="85">
        <f>SUBTOTAL(9,AL283:AW283)</f>
        <v>4689889.1999999993</v>
      </c>
      <c r="AY283" s="9"/>
      <c r="AZ283" s="9"/>
      <c r="BA283" s="9"/>
      <c r="BB283" s="9"/>
      <c r="BC283" s="9"/>
      <c r="BD283" s="9"/>
      <c r="BE283" s="9"/>
      <c r="BF283" s="9"/>
      <c r="BG283" s="9"/>
      <c r="BH283" s="9"/>
      <c r="BI283" s="9"/>
      <c r="BJ283" s="9"/>
      <c r="BK283" s="85">
        <f t="shared" si="104"/>
        <v>0</v>
      </c>
      <c r="BL283" s="39"/>
      <c r="BM283" s="39"/>
      <c r="BN283" s="39"/>
      <c r="BO283" s="39"/>
      <c r="BP283" s="39"/>
      <c r="BQ283" s="39"/>
      <c r="BR283" s="39"/>
      <c r="BS283" s="39"/>
      <c r="BT283" s="39"/>
      <c r="BU283" s="39"/>
      <c r="BV283" s="39"/>
      <c r="BW283" s="52"/>
      <c r="BX283" s="87">
        <f t="shared" si="105"/>
        <v>0</v>
      </c>
      <c r="BY283" s="112"/>
      <c r="BZ283" s="112"/>
      <c r="CA283" s="112"/>
      <c r="CB283" s="112"/>
      <c r="CC283" s="112"/>
      <c r="CD283" s="112"/>
      <c r="CE283" s="112"/>
      <c r="CF283" s="112"/>
      <c r="CG283" s="112"/>
      <c r="CH283" s="112"/>
      <c r="CI283" s="112"/>
      <c r="CJ283" s="112"/>
      <c r="CK283" s="112">
        <f t="shared" si="103"/>
        <v>0</v>
      </c>
      <c r="DC283" s="518"/>
      <c r="DD283" s="518"/>
      <c r="DE283" s="518"/>
      <c r="DF283" s="518"/>
      <c r="DG283" s="518"/>
      <c r="DH283" s="518"/>
      <c r="DI283" s="518"/>
      <c r="DJ283" s="518"/>
      <c r="DK283" s="518"/>
      <c r="DL283" s="518"/>
      <c r="DM283" s="518"/>
      <c r="DN283" s="518"/>
      <c r="DO283" s="518">
        <f t="shared" si="90"/>
        <v>0</v>
      </c>
    </row>
    <row r="284" spans="1:119" ht="25.9" customHeight="1" thickBot="1" x14ac:dyDescent="0.3">
      <c r="A284" s="859"/>
      <c r="B284" s="860"/>
      <c r="C284" s="859"/>
      <c r="D284" s="4" t="s">
        <v>93</v>
      </c>
      <c r="E284" s="4" t="s">
        <v>94</v>
      </c>
      <c r="F284" s="4" t="s">
        <v>49</v>
      </c>
      <c r="G284" s="860"/>
      <c r="H284" s="860"/>
      <c r="I284" s="5">
        <v>43775</v>
      </c>
      <c r="J284" s="58">
        <v>44141</v>
      </c>
      <c r="K284" s="195">
        <v>709349.5</v>
      </c>
      <c r="L284" s="151">
        <v>559511.94999999995</v>
      </c>
      <c r="M284" s="18">
        <f t="shared" si="91"/>
        <v>0</v>
      </c>
      <c r="N284" s="18">
        <f t="shared" si="92"/>
        <v>559511.94999999995</v>
      </c>
      <c r="O284" s="149">
        <f>K284-N284</f>
        <v>149837.55000000005</v>
      </c>
      <c r="P284" s="154">
        <f t="shared" si="93"/>
        <v>559511.94999999995</v>
      </c>
      <c r="Q284" s="67">
        <f t="shared" si="94"/>
        <v>0</v>
      </c>
      <c r="R284" s="61">
        <f t="shared" si="95"/>
        <v>559511.94999999995</v>
      </c>
      <c r="S284" s="155">
        <f>K284-R284</f>
        <v>149837.55000000005</v>
      </c>
      <c r="T284" s="159">
        <f t="shared" si="96"/>
        <v>559511.94999999995</v>
      </c>
      <c r="U284" s="61">
        <f t="shared" si="97"/>
        <v>0</v>
      </c>
      <c r="V284" s="61">
        <f t="shared" si="98"/>
        <v>559511.94999999995</v>
      </c>
      <c r="W284" s="215">
        <f>K284-V284</f>
        <v>149837.55000000005</v>
      </c>
      <c r="X284" s="246">
        <f t="shared" si="99"/>
        <v>559511.94999999995</v>
      </c>
      <c r="Y284" s="18">
        <f t="shared" si="100"/>
        <v>0</v>
      </c>
      <c r="Z284" s="18">
        <f t="shared" si="101"/>
        <v>559511.94999999995</v>
      </c>
      <c r="AA284" s="18">
        <f>K284-Z284</f>
        <v>149837.55000000005</v>
      </c>
      <c r="AB284" s="158">
        <v>0</v>
      </c>
      <c r="AC284" s="44">
        <v>12</v>
      </c>
      <c r="AD284" s="865"/>
      <c r="AE284" s="69">
        <v>0</v>
      </c>
      <c r="AF284" s="69">
        <v>0</v>
      </c>
      <c r="AG284" s="69" t="s">
        <v>53</v>
      </c>
      <c r="AH284" s="69" t="s">
        <v>53</v>
      </c>
      <c r="AI284" s="69" t="s">
        <v>53</v>
      </c>
      <c r="AJ284" s="69" t="s">
        <v>54</v>
      </c>
      <c r="AK284" s="868"/>
      <c r="AL284" s="7"/>
      <c r="AM284" s="7"/>
      <c r="AN284" s="7"/>
      <c r="AO284" s="7"/>
      <c r="AP284" s="7"/>
      <c r="AQ284" s="7"/>
      <c r="AR284" s="7"/>
      <c r="AS284" s="7"/>
      <c r="AT284" s="7"/>
      <c r="AU284" s="7"/>
      <c r="AV284" s="7"/>
      <c r="AW284" s="7"/>
      <c r="AX284" s="85">
        <f>SUBTOTAL(9,AL284:AW284)</f>
        <v>0</v>
      </c>
      <c r="AY284" s="9"/>
      <c r="AZ284" s="9"/>
      <c r="BA284" s="9"/>
      <c r="BB284" s="9"/>
      <c r="BC284" s="9"/>
      <c r="BD284" s="9"/>
      <c r="BE284" s="9"/>
      <c r="BF284" s="9"/>
      <c r="BG284" s="9"/>
      <c r="BH284" s="9"/>
      <c r="BI284" s="9"/>
      <c r="BJ284" s="9"/>
      <c r="BK284" s="85">
        <f t="shared" si="104"/>
        <v>0</v>
      </c>
      <c r="BL284" s="39"/>
      <c r="BM284" s="39"/>
      <c r="BN284" s="39"/>
      <c r="BO284" s="39"/>
      <c r="BP284" s="39"/>
      <c r="BQ284" s="39"/>
      <c r="BR284" s="39"/>
      <c r="BS284" s="39"/>
      <c r="BT284" s="39"/>
      <c r="BU284" s="39"/>
      <c r="BV284" s="39"/>
      <c r="BW284" s="52"/>
      <c r="BX284" s="87">
        <f t="shared" si="105"/>
        <v>0</v>
      </c>
      <c r="BY284" s="112"/>
      <c r="BZ284" s="112"/>
      <c r="CA284" s="112"/>
      <c r="CB284" s="112"/>
      <c r="CC284" s="112"/>
      <c r="CD284" s="112"/>
      <c r="CE284" s="112"/>
      <c r="CF284" s="112"/>
      <c r="CG284" s="112"/>
      <c r="CH284" s="112"/>
      <c r="CI284" s="112"/>
      <c r="CJ284" s="112"/>
      <c r="CK284" s="112">
        <f t="shared" si="103"/>
        <v>0</v>
      </c>
      <c r="DC284" s="518"/>
      <c r="DD284" s="518"/>
      <c r="DE284" s="518"/>
      <c r="DF284" s="518"/>
      <c r="DG284" s="518"/>
      <c r="DH284" s="518"/>
      <c r="DI284" s="518"/>
      <c r="DJ284" s="518"/>
      <c r="DK284" s="518"/>
      <c r="DL284" s="518"/>
      <c r="DM284" s="518"/>
      <c r="DN284" s="518"/>
      <c r="DO284" s="518">
        <f t="shared" si="90"/>
        <v>0</v>
      </c>
    </row>
    <row r="285" spans="1:119" s="19" customFormat="1" ht="19.149999999999999" customHeight="1" x14ac:dyDescent="0.2">
      <c r="A285" s="1" t="s">
        <v>457</v>
      </c>
      <c r="B285" s="1" t="s">
        <v>107</v>
      </c>
      <c r="C285" s="1" t="s">
        <v>1286</v>
      </c>
      <c r="D285" s="1" t="s">
        <v>1285</v>
      </c>
      <c r="E285" s="1" t="s">
        <v>1291</v>
      </c>
      <c r="F285" s="1" t="s">
        <v>49</v>
      </c>
      <c r="G285" s="1" t="s">
        <v>1306</v>
      </c>
      <c r="H285" s="1" t="s">
        <v>389</v>
      </c>
      <c r="I285" s="202">
        <v>44448</v>
      </c>
      <c r="J285" s="202" t="s">
        <v>330</v>
      </c>
      <c r="K285" s="240">
        <v>1419407.11</v>
      </c>
      <c r="L285" s="162"/>
      <c r="M285" s="136">
        <f t="shared" si="91"/>
        <v>0</v>
      </c>
      <c r="N285" s="136">
        <f t="shared" si="92"/>
        <v>0</v>
      </c>
      <c r="O285" s="137">
        <f>K285-N285</f>
        <v>1419407.11</v>
      </c>
      <c r="P285" s="135">
        <f t="shared" si="93"/>
        <v>0</v>
      </c>
      <c r="Q285" s="136">
        <f t="shared" si="94"/>
        <v>0</v>
      </c>
      <c r="R285" s="136">
        <f t="shared" si="95"/>
        <v>0</v>
      </c>
      <c r="S285" s="137">
        <f>K285-R285</f>
        <v>1419407.11</v>
      </c>
      <c r="T285" s="135">
        <f t="shared" si="96"/>
        <v>0</v>
      </c>
      <c r="U285" s="136">
        <f t="shared" si="97"/>
        <v>0</v>
      </c>
      <c r="V285" s="136">
        <f t="shared" si="98"/>
        <v>0</v>
      </c>
      <c r="W285" s="207">
        <f>K285-V285</f>
        <v>1419407.11</v>
      </c>
      <c r="X285" s="135">
        <f t="shared" si="99"/>
        <v>0</v>
      </c>
      <c r="Y285" s="136">
        <f t="shared" si="100"/>
        <v>0</v>
      </c>
      <c r="AA285" s="137">
        <f>K285-Z285</f>
        <v>1419407.11</v>
      </c>
      <c r="AB285" s="171">
        <v>0</v>
      </c>
      <c r="AC285" s="24" t="s">
        <v>330</v>
      </c>
      <c r="AD285" s="46" t="s">
        <v>517</v>
      </c>
      <c r="AE285" s="46">
        <v>0</v>
      </c>
      <c r="AF285" s="46">
        <v>0</v>
      </c>
      <c r="AG285" s="46" t="s">
        <v>53</v>
      </c>
      <c r="AH285" s="46" t="s">
        <v>53</v>
      </c>
      <c r="AI285" s="46" t="s">
        <v>53</v>
      </c>
      <c r="AJ285" s="46" t="s">
        <v>54</v>
      </c>
      <c r="AK285" s="33" t="s">
        <v>70</v>
      </c>
      <c r="AL285" s="15"/>
      <c r="AM285" s="15"/>
      <c r="AN285" s="15"/>
      <c r="AO285" s="15"/>
      <c r="AP285" s="15"/>
      <c r="AQ285" s="15"/>
      <c r="AR285" s="15"/>
      <c r="AS285" s="108"/>
      <c r="AT285" s="15"/>
      <c r="AU285" s="15"/>
      <c r="AV285" s="15"/>
      <c r="AW285" s="15"/>
      <c r="AX285" s="102"/>
      <c r="AY285" s="15"/>
      <c r="AZ285" s="15"/>
      <c r="BA285" s="15"/>
      <c r="BB285" s="15"/>
      <c r="BC285" s="15"/>
      <c r="BD285" s="15"/>
      <c r="BE285" s="15"/>
      <c r="BF285" s="15"/>
      <c r="BG285" s="15"/>
      <c r="BH285" s="15"/>
      <c r="BI285" s="15"/>
      <c r="BJ285" s="15"/>
      <c r="BK285" s="15"/>
      <c r="BL285" s="15"/>
      <c r="BM285" s="15"/>
      <c r="BN285" s="15"/>
      <c r="BO285" s="15"/>
      <c r="BP285" s="15"/>
      <c r="BQ285" s="15"/>
      <c r="BR285" s="15"/>
      <c r="BS285" s="15"/>
      <c r="BT285" s="15"/>
      <c r="BU285" s="15"/>
      <c r="BV285" s="15"/>
      <c r="BW285" s="15"/>
      <c r="BX285" s="211">
        <f t="shared" si="105"/>
        <v>0</v>
      </c>
      <c r="BY285" s="241">
        <v>0</v>
      </c>
      <c r="BZ285" s="42"/>
      <c r="CA285" s="42"/>
      <c r="CB285" s="42"/>
      <c r="CC285" s="42"/>
      <c r="CD285" s="42"/>
      <c r="CE285" s="42"/>
      <c r="CF285" s="42"/>
      <c r="CG285" s="42"/>
      <c r="CH285" s="42"/>
      <c r="CI285" s="42"/>
      <c r="CJ285" s="42"/>
      <c r="CK285" s="279">
        <f t="shared" si="103"/>
        <v>0</v>
      </c>
      <c r="DC285" s="1"/>
      <c r="DD285" s="1"/>
      <c r="DE285" s="1"/>
      <c r="DF285" s="1"/>
      <c r="DG285" s="1"/>
      <c r="DH285" s="1"/>
      <c r="DI285" s="1"/>
      <c r="DJ285" s="1"/>
      <c r="DK285" s="1"/>
      <c r="DL285" s="1"/>
      <c r="DM285" s="1"/>
      <c r="DN285" s="1"/>
      <c r="DO285" s="1">
        <f t="shared" si="90"/>
        <v>0</v>
      </c>
    </row>
    <row r="286" spans="1:119" s="19" customFormat="1" ht="19.149999999999999" customHeight="1" x14ac:dyDescent="0.2">
      <c r="A286" s="1" t="s">
        <v>1344</v>
      </c>
      <c r="B286" s="1" t="s">
        <v>45</v>
      </c>
      <c r="C286" s="1" t="s">
        <v>1346</v>
      </c>
      <c r="D286" s="1" t="s">
        <v>1335</v>
      </c>
      <c r="E286" s="1" t="s">
        <v>1374</v>
      </c>
      <c r="F286" s="1" t="s">
        <v>49</v>
      </c>
      <c r="G286" s="1" t="s">
        <v>456</v>
      </c>
      <c r="H286" s="1" t="s">
        <v>51</v>
      </c>
      <c r="I286" s="202">
        <v>44743</v>
      </c>
      <c r="J286" s="46" t="s">
        <v>330</v>
      </c>
      <c r="K286" s="260">
        <v>248241.1</v>
      </c>
      <c r="L286" s="243"/>
      <c r="M286" s="243"/>
      <c r="N286" s="243"/>
      <c r="O286" s="243"/>
      <c r="P286" s="243"/>
      <c r="Q286" s="243"/>
      <c r="R286" s="243"/>
      <c r="S286" s="243"/>
      <c r="T286" s="243"/>
      <c r="U286" s="243"/>
      <c r="V286" s="243"/>
      <c r="W286" s="243"/>
      <c r="X286" s="243"/>
      <c r="Y286" s="243"/>
      <c r="Z286" s="243"/>
      <c r="AA286" s="243"/>
      <c r="AB286" s="46"/>
      <c r="AC286" s="46"/>
      <c r="AD286" s="46"/>
      <c r="AE286" s="46"/>
      <c r="AF286" s="46"/>
      <c r="AG286" s="46"/>
      <c r="AH286" s="46"/>
      <c r="AI286" s="46"/>
      <c r="AJ286" s="46"/>
      <c r="AK286" s="1"/>
      <c r="AL286" s="15"/>
      <c r="AM286" s="15"/>
      <c r="AN286" s="15"/>
      <c r="AO286" s="15"/>
      <c r="AP286" s="15"/>
      <c r="AQ286" s="15"/>
      <c r="AR286" s="15"/>
      <c r="AS286" s="15"/>
      <c r="AT286" s="15"/>
      <c r="AU286" s="15"/>
      <c r="AV286" s="15"/>
      <c r="AW286" s="15"/>
      <c r="AX286" s="102"/>
      <c r="AY286" s="15"/>
      <c r="AZ286" s="15"/>
      <c r="BA286" s="15"/>
      <c r="BB286" s="15"/>
      <c r="BC286" s="15"/>
      <c r="BD286" s="15"/>
      <c r="BE286" s="15"/>
      <c r="BF286" s="15"/>
      <c r="BG286" s="15"/>
      <c r="BH286" s="15"/>
      <c r="BI286" s="15"/>
      <c r="BJ286" s="15"/>
      <c r="BK286" s="15"/>
      <c r="BL286" s="15"/>
      <c r="BM286" s="15"/>
      <c r="BN286" s="15"/>
      <c r="BO286" s="15"/>
      <c r="BP286" s="15"/>
      <c r="BQ286" s="15"/>
      <c r="BR286" s="15"/>
      <c r="BS286" s="15"/>
      <c r="BT286" s="15"/>
      <c r="BU286" s="15"/>
      <c r="BV286" s="15"/>
      <c r="BW286" s="15"/>
      <c r="BX286" s="15"/>
      <c r="BY286" s="1"/>
      <c r="BZ286" s="282">
        <v>248241.4</v>
      </c>
      <c r="CA286" s="1"/>
      <c r="CB286" s="1"/>
      <c r="CC286" s="1"/>
      <c r="CD286" s="1"/>
      <c r="CE286" s="1"/>
      <c r="CF286" s="1"/>
      <c r="CG286" s="1"/>
      <c r="CH286" s="1"/>
      <c r="CI286" s="1"/>
      <c r="CJ286" s="1"/>
      <c r="CK286" s="1">
        <f t="shared" si="103"/>
        <v>248241.4</v>
      </c>
      <c r="DC286" s="1"/>
      <c r="DD286" s="1"/>
      <c r="DE286" s="1"/>
      <c r="DF286" s="1"/>
      <c r="DG286" s="1"/>
      <c r="DH286" s="1"/>
      <c r="DI286" s="1"/>
      <c r="DJ286" s="1"/>
      <c r="DK286" s="1"/>
      <c r="DL286" s="1"/>
      <c r="DM286" s="1"/>
      <c r="DN286" s="1"/>
      <c r="DO286" s="1">
        <f t="shared" si="90"/>
        <v>0</v>
      </c>
    </row>
    <row r="287" spans="1:119" s="10" customFormat="1" ht="37.5" customHeight="1" x14ac:dyDescent="0.2">
      <c r="A287" s="884" t="s">
        <v>143</v>
      </c>
      <c r="B287" s="881" t="s">
        <v>57</v>
      </c>
      <c r="C287" s="884" t="s">
        <v>144</v>
      </c>
      <c r="D287" s="239" t="s">
        <v>1875</v>
      </c>
      <c r="E287" s="4" t="s">
        <v>146</v>
      </c>
      <c r="F287" s="4" t="s">
        <v>49</v>
      </c>
      <c r="G287" s="881" t="s">
        <v>50</v>
      </c>
      <c r="H287" s="881" t="s">
        <v>61</v>
      </c>
      <c r="I287" s="266">
        <v>43944</v>
      </c>
      <c r="J287" s="58">
        <v>44309</v>
      </c>
      <c r="K287" s="204">
        <v>34163428.270000003</v>
      </c>
      <c r="L287" s="148"/>
      <c r="M287" s="18">
        <f t="shared" ref="M287:M306" si="106">BB287</f>
        <v>0</v>
      </c>
      <c r="N287" s="18">
        <f t="shared" ref="N287:N306" si="107">L287+M287</f>
        <v>0</v>
      </c>
      <c r="O287" s="149">
        <f>K287-N287</f>
        <v>34163428.270000003</v>
      </c>
      <c r="P287" s="154">
        <f t="shared" ref="P287:P306" si="108">N287</f>
        <v>0</v>
      </c>
      <c r="Q287" s="66">
        <f t="shared" ref="Q287:Q306" si="109">BO287</f>
        <v>16439557.289999999</v>
      </c>
      <c r="R287" s="18">
        <f t="shared" ref="R287:R306" si="110">P287+Q287</f>
        <v>16439557.289999999</v>
      </c>
      <c r="S287" s="156">
        <f>K287-R287</f>
        <v>17723870.980000004</v>
      </c>
      <c r="T287" s="160">
        <f t="shared" ref="T287:T306" si="111">R287</f>
        <v>16439557.289999999</v>
      </c>
      <c r="U287" s="18">
        <f t="shared" ref="U287:U306" si="112">CB287</f>
        <v>9413854.0500000007</v>
      </c>
      <c r="V287" s="18">
        <f t="shared" ref="V287:V306" si="113">T287+U287</f>
        <v>25853411.34</v>
      </c>
      <c r="W287" s="216">
        <f>K287-V287</f>
        <v>8310016.9300000034</v>
      </c>
      <c r="X287" s="18">
        <f t="shared" ref="X287:X306" si="114">V287</f>
        <v>25853411.34</v>
      </c>
      <c r="Y287" s="18">
        <f t="shared" ref="Y287:Y306" si="115">CO287</f>
        <v>4263750.5299999993</v>
      </c>
      <c r="Z287" s="18">
        <f t="shared" ref="Z287:Z306" si="116">X287+Y287</f>
        <v>30117161.869999997</v>
      </c>
      <c r="AA287" s="18">
        <f>K287-Z287</f>
        <v>4046266.400000006</v>
      </c>
      <c r="AB287" s="66">
        <f t="shared" ref="AB287:AB306" si="117">Z287</f>
        <v>30117161.869999997</v>
      </c>
      <c r="AC287" s="66">
        <f t="shared" ref="AC287:AC306" si="118">DB287</f>
        <v>0</v>
      </c>
      <c r="AD287" s="66">
        <f t="shared" ref="AD287:AD306" si="119">AB287+AC287</f>
        <v>30117161.869999997</v>
      </c>
      <c r="AE287" s="66"/>
      <c r="AF287" s="158">
        <v>0</v>
      </c>
      <c r="AG287" s="44">
        <v>12</v>
      </c>
      <c r="AH287" s="863" t="s">
        <v>1304</v>
      </c>
      <c r="AI287" s="69">
        <v>0</v>
      </c>
      <c r="AJ287" s="69">
        <v>0</v>
      </c>
      <c r="AK287" s="69" t="s">
        <v>53</v>
      </c>
      <c r="AL287" s="69" t="s">
        <v>53</v>
      </c>
      <c r="AM287" s="69" t="s">
        <v>53</v>
      </c>
      <c r="AN287" s="69" t="s">
        <v>54</v>
      </c>
      <c r="AO287" s="866" t="s">
        <v>70</v>
      </c>
      <c r="AP287" s="7"/>
      <c r="AQ287" s="7"/>
      <c r="AR287" s="7"/>
      <c r="AS287" s="7"/>
      <c r="AT287" s="7"/>
      <c r="AU287" s="7"/>
      <c r="AV287" s="7"/>
      <c r="AW287" s="7"/>
      <c r="AX287" s="7"/>
      <c r="AY287" s="7"/>
      <c r="AZ287" s="7"/>
      <c r="BA287" s="7"/>
      <c r="BB287" s="85">
        <f>SUM(AP287:BA287)</f>
        <v>0</v>
      </c>
      <c r="BC287" s="9"/>
      <c r="BD287" s="9">
        <v>1644504.95</v>
      </c>
      <c r="BE287" s="9">
        <v>1340564.31</v>
      </c>
      <c r="BF287" s="9">
        <f>1118392.94+2341685.95</f>
        <v>3460078.89</v>
      </c>
      <c r="BG287" s="9"/>
      <c r="BH287" s="9">
        <v>668349.75</v>
      </c>
      <c r="BI287" s="9">
        <v>952375.95</v>
      </c>
      <c r="BJ287" s="9">
        <v>322105.88</v>
      </c>
      <c r="BK287" s="9">
        <v>2560840.33</v>
      </c>
      <c r="BL287" s="9"/>
      <c r="BM287" s="9">
        <v>3003071.27</v>
      </c>
      <c r="BN287" s="9">
        <v>2487665.96</v>
      </c>
      <c r="BO287" s="85">
        <f t="shared" ref="BO287:BO300" si="120">SUM(BC287:BN287)</f>
        <v>16439557.289999999</v>
      </c>
      <c r="BP287" s="39">
        <v>2086386.22</v>
      </c>
      <c r="BQ287" s="39">
        <v>1503303</v>
      </c>
      <c r="BR287" s="39">
        <v>2209786.5299999998</v>
      </c>
      <c r="BS287" s="39">
        <v>2375081.4500000002</v>
      </c>
      <c r="BT287" s="39"/>
      <c r="BU287" s="39"/>
      <c r="BV287" s="39"/>
      <c r="BW287" s="39"/>
      <c r="BX287" s="39"/>
      <c r="BY287" s="39">
        <v>830258.87</v>
      </c>
      <c r="BZ287" s="39"/>
      <c r="CA287" s="52">
        <v>409037.98</v>
      </c>
      <c r="CB287" s="87">
        <f t="shared" ref="CB287:CB306" si="121">SUM(BP287:CA287)</f>
        <v>9413854.0500000007</v>
      </c>
      <c r="CC287" s="112"/>
      <c r="CD287" s="112"/>
      <c r="CE287" s="329">
        <v>1040884.61</v>
      </c>
      <c r="CF287" s="329"/>
      <c r="CG287" s="329"/>
      <c r="CH287" s="329">
        <v>706646.56</v>
      </c>
      <c r="CI287" s="329">
        <v>2414678.34</v>
      </c>
      <c r="CJ287" s="329">
        <v>101541.02</v>
      </c>
      <c r="CK287" s="112"/>
      <c r="CL287" s="112"/>
      <c r="CM287" s="112"/>
      <c r="CN287" s="112"/>
      <c r="CO287" s="364">
        <f t="shared" ref="CO287:CO306" si="122">SUM(CC287:CN287)</f>
        <v>4263750.5299999993</v>
      </c>
      <c r="CP287" s="4"/>
      <c r="CQ287" s="4"/>
      <c r="CR287" s="4"/>
      <c r="CS287" s="4"/>
      <c r="CT287" s="4"/>
      <c r="CU287" s="4"/>
      <c r="CV287" s="4"/>
      <c r="CW287" s="4"/>
      <c r="CX287" s="4"/>
      <c r="CY287" s="4"/>
      <c r="CZ287" s="4"/>
      <c r="DA287" s="4"/>
      <c r="DB287" s="515">
        <f t="shared" ref="DB287:DB306" si="123">SUM(CP287:DA287)</f>
        <v>0</v>
      </c>
      <c r="DC287" s="4"/>
      <c r="DD287" s="4"/>
      <c r="DE287" s="4"/>
      <c r="DF287" s="4"/>
      <c r="DG287" s="4"/>
      <c r="DH287" s="4"/>
      <c r="DI287" s="4"/>
      <c r="DJ287" s="4"/>
      <c r="DK287" s="4"/>
      <c r="DL287" s="4"/>
      <c r="DM287" s="4"/>
      <c r="DN287" s="4"/>
      <c r="DO287" s="4">
        <f t="shared" si="90"/>
        <v>0</v>
      </c>
    </row>
    <row r="288" spans="1:119" s="10" customFormat="1" ht="37.5" customHeight="1" x14ac:dyDescent="0.2">
      <c r="A288" s="885"/>
      <c r="B288" s="882"/>
      <c r="C288" s="885"/>
      <c r="D288" s="4" t="s">
        <v>153</v>
      </c>
      <c r="E288" s="4" t="s">
        <v>147</v>
      </c>
      <c r="F288" s="4" t="s">
        <v>49</v>
      </c>
      <c r="G288" s="882"/>
      <c r="H288" s="882"/>
      <c r="I288" s="5" t="s">
        <v>1301</v>
      </c>
      <c r="J288" s="5" t="s">
        <v>1301</v>
      </c>
      <c r="K288" s="196" t="s">
        <v>1301</v>
      </c>
      <c r="L288" s="148"/>
      <c r="M288" s="18">
        <f t="shared" si="106"/>
        <v>0</v>
      </c>
      <c r="N288" s="18">
        <f t="shared" si="107"/>
        <v>0</v>
      </c>
      <c r="O288" s="149"/>
      <c r="P288" s="154">
        <f t="shared" si="108"/>
        <v>0</v>
      </c>
      <c r="Q288" s="66">
        <f t="shared" si="109"/>
        <v>856163.85</v>
      </c>
      <c r="R288" s="18">
        <f t="shared" si="110"/>
        <v>856163.85</v>
      </c>
      <c r="S288" s="156"/>
      <c r="T288" s="160">
        <f t="shared" si="111"/>
        <v>856163.85</v>
      </c>
      <c r="U288" s="18">
        <f t="shared" si="112"/>
        <v>0</v>
      </c>
      <c r="V288" s="18">
        <f t="shared" si="113"/>
        <v>856163.85</v>
      </c>
      <c r="W288" s="216"/>
      <c r="X288" s="18">
        <f t="shared" si="114"/>
        <v>856163.85</v>
      </c>
      <c r="Y288" s="18">
        <f t="shared" si="115"/>
        <v>0</v>
      </c>
      <c r="Z288" s="18">
        <f t="shared" si="116"/>
        <v>856163.85</v>
      </c>
      <c r="AA288" s="18"/>
      <c r="AB288" s="66">
        <f t="shared" si="117"/>
        <v>856163.85</v>
      </c>
      <c r="AC288" s="66">
        <f t="shared" si="118"/>
        <v>0</v>
      </c>
      <c r="AD288" s="66">
        <f t="shared" si="119"/>
        <v>856163.85</v>
      </c>
      <c r="AE288" s="66"/>
      <c r="AF288" s="158">
        <v>0</v>
      </c>
      <c r="AG288" s="5" t="s">
        <v>1301</v>
      </c>
      <c r="AH288" s="864"/>
      <c r="AI288" s="69">
        <v>0</v>
      </c>
      <c r="AJ288" s="69">
        <v>0</v>
      </c>
      <c r="AK288" s="69" t="s">
        <v>53</v>
      </c>
      <c r="AL288" s="69" t="s">
        <v>53</v>
      </c>
      <c r="AM288" s="69" t="s">
        <v>53</v>
      </c>
      <c r="AN288" s="69" t="s">
        <v>54</v>
      </c>
      <c r="AO288" s="867"/>
      <c r="AP288" s="7"/>
      <c r="AQ288" s="7"/>
      <c r="AR288" s="7"/>
      <c r="AS288" s="7"/>
      <c r="AT288" s="7"/>
      <c r="AU288" s="7"/>
      <c r="AV288" s="7"/>
      <c r="AW288" s="7"/>
      <c r="AX288" s="7"/>
      <c r="AY288" s="7"/>
      <c r="AZ288" s="7"/>
      <c r="BA288" s="7"/>
      <c r="BB288" s="85"/>
      <c r="BC288" s="9"/>
      <c r="BD288" s="9"/>
      <c r="BE288" s="288">
        <v>463628.25</v>
      </c>
      <c r="BF288" s="9"/>
      <c r="BG288" s="9">
        <v>392535.6</v>
      </c>
      <c r="BH288" s="9"/>
      <c r="BI288" s="9"/>
      <c r="BJ288" s="9"/>
      <c r="BK288" s="9"/>
      <c r="BL288" s="9"/>
      <c r="BM288" s="9"/>
      <c r="BN288" s="9"/>
      <c r="BO288" s="85">
        <f t="shared" si="120"/>
        <v>856163.85</v>
      </c>
      <c r="BP288" s="39"/>
      <c r="BQ288" s="39"/>
      <c r="BR288" s="39"/>
      <c r="BS288" s="39"/>
      <c r="BT288" s="39"/>
      <c r="BU288" s="39"/>
      <c r="BV288" s="39"/>
      <c r="BW288" s="39"/>
      <c r="BX288" s="39"/>
      <c r="BY288" s="39"/>
      <c r="BZ288" s="39"/>
      <c r="CA288" s="52"/>
      <c r="CB288" s="87">
        <f t="shared" si="121"/>
        <v>0</v>
      </c>
      <c r="CC288" s="112"/>
      <c r="CD288" s="112"/>
      <c r="CE288" s="112"/>
      <c r="CF288" s="112"/>
      <c r="CG288" s="112"/>
      <c r="CH288" s="112"/>
      <c r="CI288" s="112"/>
      <c r="CJ288" s="112"/>
      <c r="CK288" s="112"/>
      <c r="CL288" s="112"/>
      <c r="CM288" s="112"/>
      <c r="CN288" s="112"/>
      <c r="CO288" s="364">
        <f t="shared" si="122"/>
        <v>0</v>
      </c>
      <c r="CP288" s="4"/>
      <c r="CQ288" s="4"/>
      <c r="CR288" s="4"/>
      <c r="CS288" s="4"/>
      <c r="CT288" s="4"/>
      <c r="CU288" s="4"/>
      <c r="CV288" s="4"/>
      <c r="CW288" s="4"/>
      <c r="CX288" s="4"/>
      <c r="CY288" s="4"/>
      <c r="CZ288" s="4"/>
      <c r="DA288" s="4"/>
      <c r="DB288" s="515">
        <f t="shared" si="123"/>
        <v>0</v>
      </c>
      <c r="DC288" s="4"/>
      <c r="DD288" s="4"/>
      <c r="DE288" s="4"/>
      <c r="DF288" s="4"/>
      <c r="DG288" s="4"/>
      <c r="DH288" s="4"/>
      <c r="DI288" s="4"/>
      <c r="DJ288" s="4"/>
      <c r="DK288" s="4"/>
      <c r="DL288" s="4"/>
      <c r="DM288" s="4"/>
      <c r="DN288" s="4"/>
      <c r="DO288" s="4">
        <f t="shared" si="90"/>
        <v>0</v>
      </c>
    </row>
    <row r="289" spans="1:119" s="507" customFormat="1" ht="36.75" customHeight="1" x14ac:dyDescent="0.2">
      <c r="A289" s="886"/>
      <c r="B289" s="883"/>
      <c r="C289" s="886"/>
      <c r="D289" s="3" t="s">
        <v>72</v>
      </c>
      <c r="E289" s="3" t="s">
        <v>73</v>
      </c>
      <c r="F289" s="3" t="s">
        <v>49</v>
      </c>
      <c r="G289" s="883"/>
      <c r="H289" s="883"/>
      <c r="I289" s="496">
        <v>42078</v>
      </c>
      <c r="J289" s="532">
        <v>42444</v>
      </c>
      <c r="K289" s="533" t="s">
        <v>148</v>
      </c>
      <c r="L289" s="534"/>
      <c r="M289" s="535">
        <f t="shared" si="106"/>
        <v>4854532.8204999994</v>
      </c>
      <c r="N289" s="535">
        <f t="shared" si="107"/>
        <v>4854532.8204999994</v>
      </c>
      <c r="O289" s="536"/>
      <c r="P289" s="537">
        <f t="shared" si="108"/>
        <v>4854532.8204999994</v>
      </c>
      <c r="Q289" s="538">
        <f t="shared" si="109"/>
        <v>1325823.8104999999</v>
      </c>
      <c r="R289" s="535">
        <f t="shared" si="110"/>
        <v>6180356.6309999991</v>
      </c>
      <c r="S289" s="539"/>
      <c r="T289" s="540">
        <f t="shared" si="111"/>
        <v>6180356.6309999991</v>
      </c>
      <c r="U289" s="535">
        <f t="shared" si="112"/>
        <v>0</v>
      </c>
      <c r="V289" s="535">
        <f t="shared" si="113"/>
        <v>6180356.6309999991</v>
      </c>
      <c r="W289" s="541"/>
      <c r="X289" s="535">
        <f t="shared" si="114"/>
        <v>6180356.6309999991</v>
      </c>
      <c r="Y289" s="535">
        <f t="shared" si="115"/>
        <v>0</v>
      </c>
      <c r="Z289" s="535">
        <f t="shared" si="116"/>
        <v>6180356.6309999991</v>
      </c>
      <c r="AA289" s="535"/>
      <c r="AB289" s="538">
        <f t="shared" si="117"/>
        <v>6180356.6309999991</v>
      </c>
      <c r="AC289" s="538">
        <f t="shared" si="118"/>
        <v>0</v>
      </c>
      <c r="AD289" s="538">
        <f t="shared" si="119"/>
        <v>6180356.6309999991</v>
      </c>
      <c r="AE289" s="538"/>
      <c r="AF289" s="501">
        <v>0</v>
      </c>
      <c r="AG289" s="502">
        <v>12</v>
      </c>
      <c r="AH289" s="865"/>
      <c r="AI289" s="542">
        <v>0</v>
      </c>
      <c r="AJ289" s="542">
        <v>0</v>
      </c>
      <c r="AK289" s="542" t="s">
        <v>53</v>
      </c>
      <c r="AL289" s="542" t="s">
        <v>53</v>
      </c>
      <c r="AM289" s="542" t="s">
        <v>53</v>
      </c>
      <c r="AN289" s="542" t="s">
        <v>54</v>
      </c>
      <c r="AO289" s="868"/>
      <c r="AP289" s="8"/>
      <c r="AQ289" s="8"/>
      <c r="AR289" s="8"/>
      <c r="AS289" s="8"/>
      <c r="AT289" s="8"/>
      <c r="AU289" s="8"/>
      <c r="AV289" s="8">
        <v>3346664.3810000001</v>
      </c>
      <c r="AW289" s="8"/>
      <c r="AX289" s="8"/>
      <c r="AY289" s="8">
        <f>313356.0595+1194512.38</f>
        <v>1507868.4394999999</v>
      </c>
      <c r="AZ289" s="8"/>
      <c r="BA289" s="8"/>
      <c r="BB289" s="508">
        <f t="shared" ref="BB289:BB300" si="124">SUM(AP289:BA289)</f>
        <v>4854532.8204999994</v>
      </c>
      <c r="BC289" s="503"/>
      <c r="BD289" s="503"/>
      <c r="BE289" s="503"/>
      <c r="BF289" s="503"/>
      <c r="BG289" s="503">
        <v>363724.79450000002</v>
      </c>
      <c r="BH289" s="503"/>
      <c r="BI289" s="503"/>
      <c r="BJ289" s="503"/>
      <c r="BK289" s="503">
        <v>962099.01599999995</v>
      </c>
      <c r="BL289" s="503"/>
      <c r="BM289" s="503"/>
      <c r="BN289" s="503"/>
      <c r="BO289" s="508">
        <f t="shared" si="120"/>
        <v>1325823.8104999999</v>
      </c>
      <c r="BP289" s="504"/>
      <c r="BQ289" s="504"/>
      <c r="BR289" s="504"/>
      <c r="BS289" s="504"/>
      <c r="BT289" s="504"/>
      <c r="BU289" s="504"/>
      <c r="BV289" s="504"/>
      <c r="BW289" s="504"/>
      <c r="BX289" s="504"/>
      <c r="BY289" s="504"/>
      <c r="BZ289" s="504"/>
      <c r="CA289" s="543"/>
      <c r="CB289" s="505">
        <f t="shared" si="121"/>
        <v>0</v>
      </c>
      <c r="CC289" s="504"/>
      <c r="CD289" s="504"/>
      <c r="CE289" s="504"/>
      <c r="CF289" s="504"/>
      <c r="CG289" s="504"/>
      <c r="CH289" s="504"/>
      <c r="CI289" s="504"/>
      <c r="CJ289" s="504"/>
      <c r="CK289" s="504"/>
      <c r="CL289" s="504"/>
      <c r="CM289" s="504"/>
      <c r="CN289" s="504"/>
      <c r="CO289" s="543">
        <f t="shared" si="122"/>
        <v>0</v>
      </c>
      <c r="CP289" s="3"/>
      <c r="CQ289" s="3"/>
      <c r="CR289" s="3"/>
      <c r="CS289" s="3"/>
      <c r="CT289" s="3"/>
      <c r="CU289" s="3"/>
      <c r="CV289" s="3"/>
      <c r="CW289" s="3"/>
      <c r="CX289" s="3"/>
      <c r="CY289" s="3"/>
      <c r="CZ289" s="3"/>
      <c r="DA289" s="3"/>
      <c r="DB289" s="544">
        <f t="shared" si="123"/>
        <v>0</v>
      </c>
      <c r="DC289" s="3"/>
      <c r="DD289" s="3"/>
      <c r="DE289" s="3">
        <v>1346425.4740000002</v>
      </c>
      <c r="DF289" s="3"/>
      <c r="DG289" s="3"/>
      <c r="DH289" s="3"/>
      <c r="DI289" s="3"/>
      <c r="DJ289" s="3"/>
      <c r="DK289" s="3"/>
      <c r="DL289" s="3"/>
      <c r="DM289" s="3"/>
      <c r="DN289" s="3"/>
      <c r="DO289" s="3">
        <f t="shared" si="90"/>
        <v>1346425.4740000002</v>
      </c>
    </row>
    <row r="290" spans="1:119" s="10" customFormat="1" ht="37.5" customHeight="1" x14ac:dyDescent="0.2">
      <c r="A290" s="863" t="s">
        <v>149</v>
      </c>
      <c r="B290" s="866" t="s">
        <v>57</v>
      </c>
      <c r="C290" s="863" t="s">
        <v>150</v>
      </c>
      <c r="D290" s="239" t="s">
        <v>151</v>
      </c>
      <c r="E290" s="4" t="s">
        <v>152</v>
      </c>
      <c r="F290" s="4" t="s">
        <v>49</v>
      </c>
      <c r="G290" s="866" t="s">
        <v>50</v>
      </c>
      <c r="H290" s="866" t="s">
        <v>61</v>
      </c>
      <c r="I290" s="266">
        <v>43944</v>
      </c>
      <c r="J290" s="58">
        <v>44309</v>
      </c>
      <c r="K290" s="204">
        <v>32844991.300000001</v>
      </c>
      <c r="L290" s="148"/>
      <c r="M290" s="18">
        <f t="shared" si="106"/>
        <v>0</v>
      </c>
      <c r="N290" s="18">
        <f t="shared" si="107"/>
        <v>0</v>
      </c>
      <c r="O290" s="149">
        <f>K290-N290</f>
        <v>32844991.300000001</v>
      </c>
      <c r="P290" s="154">
        <f t="shared" si="108"/>
        <v>0</v>
      </c>
      <c r="Q290" s="66">
        <f t="shared" si="109"/>
        <v>7914096.5874999994</v>
      </c>
      <c r="R290" s="18">
        <f t="shared" si="110"/>
        <v>7914096.5874999994</v>
      </c>
      <c r="S290" s="156">
        <f>K290-R290</f>
        <v>24930894.712500002</v>
      </c>
      <c r="T290" s="160">
        <f t="shared" si="111"/>
        <v>7914096.5874999994</v>
      </c>
      <c r="U290" s="18">
        <f t="shared" si="112"/>
        <v>0</v>
      </c>
      <c r="V290" s="18">
        <f t="shared" si="113"/>
        <v>7914096.5874999994</v>
      </c>
      <c r="W290" s="216">
        <f>K290-V290</f>
        <v>24930894.712500002</v>
      </c>
      <c r="X290" s="18">
        <f t="shared" si="114"/>
        <v>7914096.5874999994</v>
      </c>
      <c r="Y290" s="18">
        <f t="shared" si="115"/>
        <v>0</v>
      </c>
      <c r="Z290" s="18">
        <f t="shared" si="116"/>
        <v>7914096.5874999994</v>
      </c>
      <c r="AA290" s="18">
        <f>K290-Z290</f>
        <v>24930894.712500002</v>
      </c>
      <c r="AB290" s="66">
        <f t="shared" si="117"/>
        <v>7914096.5874999994</v>
      </c>
      <c r="AC290" s="66">
        <f t="shared" si="118"/>
        <v>0</v>
      </c>
      <c r="AD290" s="66">
        <f t="shared" si="119"/>
        <v>7914096.5874999994</v>
      </c>
      <c r="AE290" s="66"/>
      <c r="AF290" s="158">
        <v>0</v>
      </c>
      <c r="AG290" s="44">
        <v>12</v>
      </c>
      <c r="AH290" s="863" t="s">
        <v>1304</v>
      </c>
      <c r="AI290" s="69">
        <v>0</v>
      </c>
      <c r="AJ290" s="69">
        <v>0</v>
      </c>
      <c r="AK290" s="69" t="s">
        <v>53</v>
      </c>
      <c r="AL290" s="69" t="s">
        <v>53</v>
      </c>
      <c r="AM290" s="69" t="s">
        <v>53</v>
      </c>
      <c r="AN290" s="69" t="s">
        <v>54</v>
      </c>
      <c r="AO290" s="866" t="s">
        <v>1314</v>
      </c>
      <c r="AP290" s="7"/>
      <c r="AQ290" s="7"/>
      <c r="AR290" s="7"/>
      <c r="AS290" s="7"/>
      <c r="AT290" s="7"/>
      <c r="AU290" s="7"/>
      <c r="AV290" s="7"/>
      <c r="AW290" s="7"/>
      <c r="AX290" s="7"/>
      <c r="AY290" s="7"/>
      <c r="AZ290" s="7"/>
      <c r="BA290" s="7"/>
      <c r="BB290" s="85">
        <f t="shared" si="124"/>
        <v>0</v>
      </c>
      <c r="BC290" s="9">
        <v>562322.4</v>
      </c>
      <c r="BD290" s="9">
        <v>564502.80000000005</v>
      </c>
      <c r="BE290" s="9">
        <v>1207932.3999999999</v>
      </c>
      <c r="BF290" s="9">
        <f>1336309.4875+1221362.28</f>
        <v>2557671.7675000001</v>
      </c>
      <c r="BG290" s="9"/>
      <c r="BH290" s="9">
        <v>919751.6</v>
      </c>
      <c r="BI290" s="9"/>
      <c r="BJ290" s="9"/>
      <c r="BK290" s="9"/>
      <c r="BL290" s="9"/>
      <c r="BM290" s="9"/>
      <c r="BN290" s="9">
        <f>4966.85+2096948.77</f>
        <v>2101915.62</v>
      </c>
      <c r="BO290" s="85">
        <f t="shared" si="120"/>
        <v>7914096.5874999994</v>
      </c>
      <c r="BP290" s="39"/>
      <c r="BQ290" s="39"/>
      <c r="BR290" s="39"/>
      <c r="BS290" s="39"/>
      <c r="BT290" s="39"/>
      <c r="BU290" s="39"/>
      <c r="BV290" s="39"/>
      <c r="BW290" s="39"/>
      <c r="BX290" s="39"/>
      <c r="BY290" s="39"/>
      <c r="BZ290" s="39"/>
      <c r="CA290" s="52"/>
      <c r="CB290" s="87">
        <f t="shared" si="121"/>
        <v>0</v>
      </c>
      <c r="CC290" s="112"/>
      <c r="CD290" s="112"/>
      <c r="CE290" s="112"/>
      <c r="CF290" s="112"/>
      <c r="CG290" s="112"/>
      <c r="CH290" s="112"/>
      <c r="CI290" s="112"/>
      <c r="CJ290" s="112"/>
      <c r="CK290" s="112"/>
      <c r="CL290" s="112"/>
      <c r="CM290" s="112"/>
      <c r="CN290" s="112"/>
      <c r="CO290" s="364">
        <f t="shared" si="122"/>
        <v>0</v>
      </c>
      <c r="CP290" s="4"/>
      <c r="CQ290" s="4"/>
      <c r="CR290" s="4"/>
      <c r="CS290" s="4"/>
      <c r="CT290" s="4"/>
      <c r="CU290" s="4"/>
      <c r="CV290" s="4"/>
      <c r="CW290" s="4"/>
      <c r="CX290" s="4"/>
      <c r="CY290" s="4"/>
      <c r="CZ290" s="4"/>
      <c r="DA290" s="4"/>
      <c r="DB290" s="515">
        <f t="shared" si="123"/>
        <v>0</v>
      </c>
      <c r="DC290" s="4"/>
      <c r="DD290" s="4"/>
      <c r="DE290" s="4"/>
      <c r="DF290" s="4"/>
      <c r="DG290" s="4"/>
      <c r="DH290" s="4"/>
      <c r="DI290" s="4"/>
      <c r="DJ290" s="4"/>
      <c r="DK290" s="4"/>
      <c r="DL290" s="4"/>
      <c r="DM290" s="4"/>
      <c r="DN290" s="4"/>
      <c r="DO290" s="4">
        <f t="shared" si="90"/>
        <v>0</v>
      </c>
    </row>
    <row r="291" spans="1:119" s="10" customFormat="1" ht="37.5" customHeight="1" x14ac:dyDescent="0.2">
      <c r="A291" s="864"/>
      <c r="B291" s="867"/>
      <c r="C291" s="864"/>
      <c r="D291" s="4" t="s">
        <v>153</v>
      </c>
      <c r="E291" s="4" t="s">
        <v>147</v>
      </c>
      <c r="F291" s="4" t="s">
        <v>49</v>
      </c>
      <c r="G291" s="867"/>
      <c r="H291" s="867"/>
      <c r="I291" s="5" t="s">
        <v>1301</v>
      </c>
      <c r="J291" s="5" t="s">
        <v>1301</v>
      </c>
      <c r="K291" s="196">
        <v>0</v>
      </c>
      <c r="L291" s="148"/>
      <c r="M291" s="18">
        <f t="shared" si="106"/>
        <v>0</v>
      </c>
      <c r="N291" s="18">
        <f t="shared" si="107"/>
        <v>0</v>
      </c>
      <c r="O291" s="149">
        <f>K291-N291</f>
        <v>0</v>
      </c>
      <c r="P291" s="154">
        <f t="shared" si="108"/>
        <v>0</v>
      </c>
      <c r="Q291" s="66">
        <f t="shared" si="109"/>
        <v>458740.75</v>
      </c>
      <c r="R291" s="18">
        <f t="shared" si="110"/>
        <v>458740.75</v>
      </c>
      <c r="S291" s="156"/>
      <c r="T291" s="160">
        <f t="shared" si="111"/>
        <v>458740.75</v>
      </c>
      <c r="U291" s="18">
        <f t="shared" si="112"/>
        <v>0</v>
      </c>
      <c r="V291" s="18">
        <f t="shared" si="113"/>
        <v>458740.75</v>
      </c>
      <c r="W291" s="216"/>
      <c r="X291" s="18">
        <f t="shared" si="114"/>
        <v>458740.75</v>
      </c>
      <c r="Y291" s="18">
        <f t="shared" si="115"/>
        <v>0</v>
      </c>
      <c r="Z291" s="18">
        <f t="shared" si="116"/>
        <v>458740.75</v>
      </c>
      <c r="AA291" s="18">
        <f>K291-Z291</f>
        <v>-458740.75</v>
      </c>
      <c r="AB291" s="66">
        <f t="shared" si="117"/>
        <v>458740.75</v>
      </c>
      <c r="AC291" s="66">
        <f t="shared" si="118"/>
        <v>0</v>
      </c>
      <c r="AD291" s="66">
        <f t="shared" si="119"/>
        <v>458740.75</v>
      </c>
      <c r="AE291" s="66"/>
      <c r="AF291" s="158">
        <v>0</v>
      </c>
      <c r="AG291" s="44" t="s">
        <v>1301</v>
      </c>
      <c r="AH291" s="864"/>
      <c r="AI291" s="69">
        <v>0</v>
      </c>
      <c r="AJ291" s="69">
        <v>0</v>
      </c>
      <c r="AK291" s="69" t="s">
        <v>53</v>
      </c>
      <c r="AL291" s="69" t="s">
        <v>53</v>
      </c>
      <c r="AM291" s="69" t="s">
        <v>53</v>
      </c>
      <c r="AN291" s="69" t="s">
        <v>54</v>
      </c>
      <c r="AO291" s="867"/>
      <c r="AP291" s="7"/>
      <c r="AQ291" s="7"/>
      <c r="AR291" s="7"/>
      <c r="AS291" s="7"/>
      <c r="AT291" s="7"/>
      <c r="AU291" s="7"/>
      <c r="AV291" s="7"/>
      <c r="AW291" s="7"/>
      <c r="AX291" s="7"/>
      <c r="AY291" s="7"/>
      <c r="AZ291" s="7"/>
      <c r="BA291" s="7"/>
      <c r="BB291" s="85">
        <f t="shared" si="124"/>
        <v>0</v>
      </c>
      <c r="BC291" s="9"/>
      <c r="BD291" s="9"/>
      <c r="BE291" s="9"/>
      <c r="BF291" s="9">
        <v>254150</v>
      </c>
      <c r="BG291" s="9"/>
      <c r="BH291" s="9"/>
      <c r="BI291" s="9"/>
      <c r="BJ291" s="9"/>
      <c r="BK291" s="9"/>
      <c r="BL291" s="9"/>
      <c r="BM291" s="9">
        <v>204590.75</v>
      </c>
      <c r="BN291" s="9"/>
      <c r="BO291" s="85">
        <f t="shared" si="120"/>
        <v>458740.75</v>
      </c>
      <c r="BP291" s="39"/>
      <c r="BQ291" s="39"/>
      <c r="BR291" s="39"/>
      <c r="BS291" s="39"/>
      <c r="BT291" s="39"/>
      <c r="BU291" s="39"/>
      <c r="BV291" s="39"/>
      <c r="BW291" s="39"/>
      <c r="BX291" s="39"/>
      <c r="BY291" s="39"/>
      <c r="BZ291" s="39"/>
      <c r="CA291" s="52"/>
      <c r="CB291" s="87">
        <f t="shared" si="121"/>
        <v>0</v>
      </c>
      <c r="CC291" s="112"/>
      <c r="CD291" s="112"/>
      <c r="CE291" s="112"/>
      <c r="CF291" s="112"/>
      <c r="CG291" s="112"/>
      <c r="CH291" s="112"/>
      <c r="CI291" s="112"/>
      <c r="CJ291" s="112"/>
      <c r="CK291" s="112"/>
      <c r="CL291" s="112"/>
      <c r="CM291" s="112"/>
      <c r="CN291" s="112"/>
      <c r="CO291" s="364">
        <f t="shared" si="122"/>
        <v>0</v>
      </c>
      <c r="CP291" s="4"/>
      <c r="CQ291" s="4"/>
      <c r="CR291" s="4"/>
      <c r="CS291" s="4"/>
      <c r="CT291" s="4"/>
      <c r="CU291" s="4"/>
      <c r="CV291" s="4"/>
      <c r="CW291" s="4"/>
      <c r="CX291" s="4"/>
      <c r="CY291" s="4"/>
      <c r="CZ291" s="4"/>
      <c r="DA291" s="4"/>
      <c r="DB291" s="515">
        <f t="shared" si="123"/>
        <v>0</v>
      </c>
      <c r="DC291" s="4"/>
      <c r="DD291" s="4"/>
      <c r="DE291" s="4"/>
      <c r="DF291" s="4"/>
      <c r="DG291" s="4"/>
      <c r="DH291" s="4"/>
      <c r="DI291" s="4"/>
      <c r="DJ291" s="4"/>
      <c r="DK291" s="4"/>
      <c r="DL291" s="4"/>
      <c r="DM291" s="4"/>
      <c r="DN291" s="4"/>
      <c r="DO291" s="4">
        <f t="shared" si="90"/>
        <v>0</v>
      </c>
    </row>
    <row r="292" spans="1:119" s="10" customFormat="1" ht="37.5" customHeight="1" x14ac:dyDescent="0.2">
      <c r="A292" s="864"/>
      <c r="B292" s="867"/>
      <c r="C292" s="864"/>
      <c r="D292" s="4" t="s">
        <v>154</v>
      </c>
      <c r="E292" s="4" t="s">
        <v>155</v>
      </c>
      <c r="F292" s="4" t="s">
        <v>49</v>
      </c>
      <c r="G292" s="867"/>
      <c r="H292" s="867"/>
      <c r="I292" s="5" t="s">
        <v>1301</v>
      </c>
      <c r="J292" s="5" t="s">
        <v>1301</v>
      </c>
      <c r="K292" s="196">
        <v>0</v>
      </c>
      <c r="L292" s="148"/>
      <c r="M292" s="18">
        <f t="shared" si="106"/>
        <v>0</v>
      </c>
      <c r="N292" s="18">
        <f t="shared" si="107"/>
        <v>0</v>
      </c>
      <c r="O292" s="149">
        <f>K292-N292</f>
        <v>0</v>
      </c>
      <c r="P292" s="154">
        <f t="shared" si="108"/>
        <v>0</v>
      </c>
      <c r="Q292" s="66">
        <f t="shared" si="109"/>
        <v>303669</v>
      </c>
      <c r="R292" s="18">
        <f t="shared" si="110"/>
        <v>303669</v>
      </c>
      <c r="S292" s="156"/>
      <c r="T292" s="160">
        <f t="shared" si="111"/>
        <v>303669</v>
      </c>
      <c r="U292" s="18">
        <f t="shared" si="112"/>
        <v>0</v>
      </c>
      <c r="V292" s="18">
        <f t="shared" si="113"/>
        <v>303669</v>
      </c>
      <c r="W292" s="216"/>
      <c r="X292" s="18">
        <f t="shared" si="114"/>
        <v>303669</v>
      </c>
      <c r="Y292" s="18">
        <f t="shared" si="115"/>
        <v>0</v>
      </c>
      <c r="Z292" s="18">
        <f t="shared" si="116"/>
        <v>303669</v>
      </c>
      <c r="AA292" s="18">
        <f>K292-Z292</f>
        <v>-303669</v>
      </c>
      <c r="AB292" s="66">
        <f t="shared" si="117"/>
        <v>303669</v>
      </c>
      <c r="AC292" s="66">
        <f t="shared" si="118"/>
        <v>0</v>
      </c>
      <c r="AD292" s="66">
        <f t="shared" si="119"/>
        <v>303669</v>
      </c>
      <c r="AE292" s="66"/>
      <c r="AF292" s="158">
        <v>0</v>
      </c>
      <c r="AG292" s="44" t="s">
        <v>1301</v>
      </c>
      <c r="AH292" s="864"/>
      <c r="AI292" s="69">
        <v>0</v>
      </c>
      <c r="AJ292" s="69">
        <v>0</v>
      </c>
      <c r="AK292" s="69" t="s">
        <v>53</v>
      </c>
      <c r="AL292" s="69" t="s">
        <v>53</v>
      </c>
      <c r="AM292" s="69" t="s">
        <v>53</v>
      </c>
      <c r="AN292" s="69" t="s">
        <v>54</v>
      </c>
      <c r="AO292" s="867"/>
      <c r="AP292" s="7"/>
      <c r="AQ292" s="7"/>
      <c r="AR292" s="7"/>
      <c r="AS292" s="7"/>
      <c r="AT292" s="7"/>
      <c r="AU292" s="7"/>
      <c r="AV292" s="7"/>
      <c r="AW292" s="7"/>
      <c r="AX292" s="7"/>
      <c r="AY292" s="7"/>
      <c r="AZ292" s="7"/>
      <c r="BA292" s="7"/>
      <c r="BB292" s="85">
        <f t="shared" si="124"/>
        <v>0</v>
      </c>
      <c r="BC292" s="9"/>
      <c r="BD292" s="9"/>
      <c r="BE292" s="9"/>
      <c r="BF292" s="9"/>
      <c r="BG292" s="9">
        <v>254150</v>
      </c>
      <c r="BH292" s="9"/>
      <c r="BI292" s="9"/>
      <c r="BJ292" s="9"/>
      <c r="BK292" s="9"/>
      <c r="BL292" s="9"/>
      <c r="BM292" s="9"/>
      <c r="BN292" s="9">
        <v>49519</v>
      </c>
      <c r="BO292" s="85">
        <f t="shared" si="120"/>
        <v>303669</v>
      </c>
      <c r="BP292" s="39"/>
      <c r="BQ292" s="39"/>
      <c r="BR292" s="39"/>
      <c r="BS292" s="39"/>
      <c r="BT292" s="39"/>
      <c r="BU292" s="39"/>
      <c r="BV292" s="39"/>
      <c r="BW292" s="39"/>
      <c r="BX292" s="39"/>
      <c r="BY292" s="39"/>
      <c r="BZ292" s="39"/>
      <c r="CA292" s="52"/>
      <c r="CB292" s="87">
        <f t="shared" si="121"/>
        <v>0</v>
      </c>
      <c r="CC292" s="39"/>
      <c r="CD292" s="39"/>
      <c r="CE292" s="39"/>
      <c r="CF292" s="112"/>
      <c r="CG292" s="112"/>
      <c r="CH292" s="112"/>
      <c r="CI292" s="112"/>
      <c r="CJ292" s="112"/>
      <c r="CK292" s="112"/>
      <c r="CL292" s="112"/>
      <c r="CM292" s="112"/>
      <c r="CN292" s="112"/>
      <c r="CO292" s="364">
        <f t="shared" si="122"/>
        <v>0</v>
      </c>
      <c r="CP292" s="4"/>
      <c r="CQ292" s="4"/>
      <c r="CR292" s="4"/>
      <c r="CS292" s="4"/>
      <c r="CT292" s="4"/>
      <c r="CU292" s="4"/>
      <c r="CV292" s="4"/>
      <c r="CW292" s="4"/>
      <c r="CX292" s="4"/>
      <c r="CY292" s="4"/>
      <c r="CZ292" s="4"/>
      <c r="DA292" s="4"/>
      <c r="DB292" s="515">
        <f t="shared" si="123"/>
        <v>0</v>
      </c>
      <c r="DC292" s="4"/>
      <c r="DD292" s="4"/>
      <c r="DE292" s="4"/>
      <c r="DF292" s="4"/>
      <c r="DG292" s="4"/>
      <c r="DH292" s="4"/>
      <c r="DI292" s="4"/>
      <c r="DJ292" s="4"/>
      <c r="DK292" s="4"/>
      <c r="DL292" s="4"/>
      <c r="DM292" s="4"/>
      <c r="DN292" s="4"/>
      <c r="DO292" s="4">
        <f t="shared" si="90"/>
        <v>0</v>
      </c>
    </row>
    <row r="293" spans="1:119" s="10" customFormat="1" ht="37.5" customHeight="1" x14ac:dyDescent="0.2">
      <c r="A293" s="864"/>
      <c r="B293" s="867"/>
      <c r="C293" s="864"/>
      <c r="D293" s="4" t="s">
        <v>156</v>
      </c>
      <c r="E293" s="4" t="s">
        <v>146</v>
      </c>
      <c r="F293" s="4" t="s">
        <v>49</v>
      </c>
      <c r="G293" s="867"/>
      <c r="H293" s="867"/>
      <c r="I293" s="5">
        <v>44379</v>
      </c>
      <c r="J293" s="58">
        <v>44744</v>
      </c>
      <c r="K293" s="197">
        <v>27819106.030000001</v>
      </c>
      <c r="L293" s="148"/>
      <c r="M293" s="18">
        <f t="shared" si="106"/>
        <v>0</v>
      </c>
      <c r="N293" s="18">
        <f t="shared" si="107"/>
        <v>0</v>
      </c>
      <c r="O293" s="149">
        <f>K293-N293</f>
        <v>27819106.030000001</v>
      </c>
      <c r="P293" s="154">
        <f t="shared" si="108"/>
        <v>0</v>
      </c>
      <c r="Q293" s="66">
        <f t="shared" si="109"/>
        <v>0</v>
      </c>
      <c r="R293" s="18">
        <f t="shared" si="110"/>
        <v>0</v>
      </c>
      <c r="S293" s="156">
        <f>K293-R293</f>
        <v>27819106.030000001</v>
      </c>
      <c r="T293" s="160">
        <f t="shared" si="111"/>
        <v>0</v>
      </c>
      <c r="U293" s="18">
        <f t="shared" si="112"/>
        <v>9963230.2249999996</v>
      </c>
      <c r="V293" s="18">
        <f t="shared" si="113"/>
        <v>9963230.2249999996</v>
      </c>
      <c r="W293" s="216">
        <f>K293-V293</f>
        <v>17855875.805</v>
      </c>
      <c r="X293" s="18">
        <f t="shared" si="114"/>
        <v>9963230.2249999996</v>
      </c>
      <c r="Y293" s="18">
        <f t="shared" si="115"/>
        <v>12324323.040000001</v>
      </c>
      <c r="Z293" s="18">
        <f t="shared" si="116"/>
        <v>22287553.265000001</v>
      </c>
      <c r="AA293" s="18">
        <f>K293-Z293</f>
        <v>5531552.7650000006</v>
      </c>
      <c r="AB293" s="66">
        <f t="shared" si="117"/>
        <v>22287553.265000001</v>
      </c>
      <c r="AC293" s="66">
        <f t="shared" si="118"/>
        <v>0</v>
      </c>
      <c r="AD293" s="66">
        <f t="shared" si="119"/>
        <v>22287553.265000001</v>
      </c>
      <c r="AE293" s="66"/>
      <c r="AF293" s="158">
        <v>0</v>
      </c>
      <c r="AG293" s="44">
        <v>12</v>
      </c>
      <c r="AH293" s="864"/>
      <c r="AI293" s="69">
        <v>0</v>
      </c>
      <c r="AJ293" s="69">
        <v>0</v>
      </c>
      <c r="AK293" s="69" t="s">
        <v>53</v>
      </c>
      <c r="AL293" s="69" t="s">
        <v>53</v>
      </c>
      <c r="AM293" s="69" t="s">
        <v>53</v>
      </c>
      <c r="AN293" s="69" t="s">
        <v>54</v>
      </c>
      <c r="AO293" s="867"/>
      <c r="AP293" s="7"/>
      <c r="AQ293" s="7"/>
      <c r="AR293" s="7"/>
      <c r="AS293" s="7"/>
      <c r="AT293" s="7"/>
      <c r="AU293" s="7"/>
      <c r="AV293" s="7"/>
      <c r="AW293" s="7"/>
      <c r="AX293" s="7"/>
      <c r="AY293" s="7"/>
      <c r="AZ293" s="7"/>
      <c r="BA293" s="7"/>
      <c r="BB293" s="85">
        <f t="shared" si="124"/>
        <v>0</v>
      </c>
      <c r="BC293" s="9"/>
      <c r="BD293" s="9"/>
      <c r="BE293" s="9"/>
      <c r="BF293" s="9"/>
      <c r="BG293" s="9"/>
      <c r="BH293" s="9"/>
      <c r="BI293" s="9"/>
      <c r="BJ293" s="9"/>
      <c r="BK293" s="9"/>
      <c r="BL293" s="9"/>
      <c r="BM293" s="9"/>
      <c r="BN293" s="9"/>
      <c r="BO293" s="85">
        <f t="shared" si="120"/>
        <v>0</v>
      </c>
      <c r="BP293" s="39"/>
      <c r="BQ293" s="39"/>
      <c r="BR293" s="39">
        <v>2588056.6</v>
      </c>
      <c r="BS293" s="39">
        <v>2130030</v>
      </c>
      <c r="BT293" s="39">
        <v>1019449.7</v>
      </c>
      <c r="BU293" s="39"/>
      <c r="BV293" s="39">
        <v>2122555.5749999997</v>
      </c>
      <c r="BW293" s="39"/>
      <c r="BX293" s="39"/>
      <c r="BY293" s="39"/>
      <c r="BZ293" s="39"/>
      <c r="CA293" s="52">
        <v>2103138.35</v>
      </c>
      <c r="CB293" s="87">
        <f t="shared" si="121"/>
        <v>9963230.2249999996</v>
      </c>
      <c r="CC293" s="329">
        <v>961967.42</v>
      </c>
      <c r="CD293" s="330">
        <v>2465449.9300000002</v>
      </c>
      <c r="CE293" s="329">
        <v>2054050.35</v>
      </c>
      <c r="CF293" s="285"/>
      <c r="CG293" s="329">
        <v>2002833.27</v>
      </c>
      <c r="CH293" s="329">
        <v>1062457.4099999999</v>
      </c>
      <c r="CI293" s="329">
        <v>1321192.49</v>
      </c>
      <c r="CJ293" s="112"/>
      <c r="CK293" s="112"/>
      <c r="CL293" s="112">
        <v>2456372.1699999995</v>
      </c>
      <c r="CM293" s="112"/>
      <c r="CN293" s="112"/>
      <c r="CO293" s="364">
        <f t="shared" si="122"/>
        <v>12324323.040000001</v>
      </c>
      <c r="CP293" s="4"/>
      <c r="CQ293" s="4"/>
      <c r="CR293" s="4"/>
      <c r="CS293" s="4"/>
      <c r="CT293" s="4"/>
      <c r="CU293" s="4"/>
      <c r="CV293" s="4"/>
      <c r="CW293" s="4"/>
      <c r="CX293" s="4"/>
      <c r="CY293" s="4"/>
      <c r="CZ293" s="4"/>
      <c r="DA293" s="4"/>
      <c r="DB293" s="515">
        <f t="shared" si="123"/>
        <v>0</v>
      </c>
      <c r="DC293" s="4"/>
      <c r="DD293" s="4"/>
      <c r="DE293" s="4"/>
      <c r="DF293" s="4"/>
      <c r="DG293" s="4"/>
      <c r="DH293" s="4"/>
      <c r="DI293" s="4"/>
      <c r="DJ293" s="4"/>
      <c r="DK293" s="4"/>
      <c r="DL293" s="4"/>
      <c r="DM293" s="4"/>
      <c r="DN293" s="4"/>
      <c r="DO293" s="4">
        <f t="shared" si="90"/>
        <v>0</v>
      </c>
    </row>
    <row r="294" spans="1:119" s="10" customFormat="1" ht="37.5" customHeight="1" x14ac:dyDescent="0.2">
      <c r="A294" s="865"/>
      <c r="B294" s="868"/>
      <c r="C294" s="865"/>
      <c r="D294" s="4" t="s">
        <v>72</v>
      </c>
      <c r="E294" s="4" t="s">
        <v>73</v>
      </c>
      <c r="F294" s="4" t="s">
        <v>49</v>
      </c>
      <c r="G294" s="868"/>
      <c r="H294" s="868"/>
      <c r="I294" s="5">
        <v>43650</v>
      </c>
      <c r="J294" s="58">
        <v>44746</v>
      </c>
      <c r="K294" s="197" t="s">
        <v>142</v>
      </c>
      <c r="L294" s="148"/>
      <c r="M294" s="18">
        <f t="shared" si="106"/>
        <v>848887.96399999992</v>
      </c>
      <c r="N294" s="18">
        <f t="shared" si="107"/>
        <v>848887.96399999992</v>
      </c>
      <c r="O294" s="149"/>
      <c r="P294" s="154">
        <f t="shared" si="108"/>
        <v>848887.96399999992</v>
      </c>
      <c r="Q294" s="66">
        <f t="shared" si="109"/>
        <v>1777140.61</v>
      </c>
      <c r="R294" s="18">
        <f t="shared" si="110"/>
        <v>2626028.574</v>
      </c>
      <c r="S294" s="156"/>
      <c r="T294" s="160">
        <f t="shared" si="111"/>
        <v>2626028.574</v>
      </c>
      <c r="U294" s="18">
        <f t="shared" si="112"/>
        <v>1166330.9100000001</v>
      </c>
      <c r="V294" s="18">
        <f t="shared" si="113"/>
        <v>3792359.4840000002</v>
      </c>
      <c r="W294" s="216"/>
      <c r="X294" s="18">
        <f t="shared" si="114"/>
        <v>3792359.4840000002</v>
      </c>
      <c r="Y294" s="18">
        <f t="shared" si="115"/>
        <v>0</v>
      </c>
      <c r="Z294" s="18">
        <f t="shared" si="116"/>
        <v>3792359.4840000002</v>
      </c>
      <c r="AA294" s="18"/>
      <c r="AB294" s="66">
        <f t="shared" si="117"/>
        <v>3792359.4840000002</v>
      </c>
      <c r="AC294" s="66">
        <f t="shared" si="118"/>
        <v>2950236.41</v>
      </c>
      <c r="AD294" s="66">
        <f t="shared" si="119"/>
        <v>6742595.8940000003</v>
      </c>
      <c r="AE294" s="66"/>
      <c r="AF294" s="158">
        <v>0</v>
      </c>
      <c r="AG294" s="44">
        <v>36</v>
      </c>
      <c r="AH294" s="865"/>
      <c r="AI294" s="69">
        <v>0</v>
      </c>
      <c r="AJ294" s="69">
        <v>0</v>
      </c>
      <c r="AK294" s="69" t="s">
        <v>53</v>
      </c>
      <c r="AL294" s="69" t="s">
        <v>53</v>
      </c>
      <c r="AM294" s="69" t="s">
        <v>53</v>
      </c>
      <c r="AN294" s="69" t="s">
        <v>54</v>
      </c>
      <c r="AO294" s="868"/>
      <c r="AP294" s="7"/>
      <c r="AQ294" s="7"/>
      <c r="AR294" s="7"/>
      <c r="AS294" s="7"/>
      <c r="AT294" s="7"/>
      <c r="AU294" s="7"/>
      <c r="AV294" s="7"/>
      <c r="AW294" s="7"/>
      <c r="AX294" s="294">
        <v>376298.5</v>
      </c>
      <c r="AY294" s="7">
        <v>472589.46399999998</v>
      </c>
      <c r="AZ294" s="7"/>
      <c r="BA294" s="7"/>
      <c r="BB294" s="85">
        <f t="shared" si="124"/>
        <v>848887.96399999992</v>
      </c>
      <c r="BC294" s="9"/>
      <c r="BD294" s="9"/>
      <c r="BE294" s="9"/>
      <c r="BF294" s="9"/>
      <c r="BG294" s="9"/>
      <c r="BH294" s="9"/>
      <c r="BI294" s="9"/>
      <c r="BJ294" s="9"/>
      <c r="BK294" s="9">
        <v>382362.81</v>
      </c>
      <c r="BL294" s="9"/>
      <c r="BM294" s="9"/>
      <c r="BN294" s="9">
        <f>515903.52+878874.28</f>
        <v>1394777.8</v>
      </c>
      <c r="BO294" s="85">
        <f t="shared" si="120"/>
        <v>1777140.61</v>
      </c>
      <c r="BP294" s="39"/>
      <c r="BQ294" s="39"/>
      <c r="BR294" s="39"/>
      <c r="BS294" s="39"/>
      <c r="BT294" s="39"/>
      <c r="BU294" s="39"/>
      <c r="BV294" s="39"/>
      <c r="BW294" s="39"/>
      <c r="BX294" s="293">
        <f>382362.81+268064.59</f>
        <v>650427.4</v>
      </c>
      <c r="BY294" s="39"/>
      <c r="BZ294" s="39"/>
      <c r="CA294" s="292">
        <v>515903.51</v>
      </c>
      <c r="CB294" s="87">
        <f t="shared" si="121"/>
        <v>1166330.9100000001</v>
      </c>
      <c r="CC294" s="39"/>
      <c r="CD294" s="39"/>
      <c r="CE294" s="39"/>
      <c r="CF294" s="112"/>
      <c r="CG294" s="112"/>
      <c r="CH294" s="112"/>
      <c r="CI294" s="112"/>
      <c r="CJ294" s="112"/>
      <c r="CK294" s="112"/>
      <c r="CL294" s="112"/>
      <c r="CM294" s="112"/>
      <c r="CN294" s="112"/>
      <c r="CO294" s="364">
        <f t="shared" si="122"/>
        <v>0</v>
      </c>
      <c r="CP294" s="4">
        <v>433006.18</v>
      </c>
      <c r="CQ294" s="4">
        <v>1170804.76</v>
      </c>
      <c r="CR294" s="4"/>
      <c r="CS294" s="4">
        <v>1346425.47</v>
      </c>
      <c r="CT294" s="4"/>
      <c r="CU294" s="4"/>
      <c r="CV294" s="4"/>
      <c r="CW294" s="4"/>
      <c r="CX294" s="4"/>
      <c r="CY294" s="4"/>
      <c r="CZ294" s="4"/>
      <c r="DA294" s="4"/>
      <c r="DB294" s="515">
        <f t="shared" si="123"/>
        <v>2950236.41</v>
      </c>
      <c r="DC294" s="4"/>
      <c r="DD294" s="4"/>
      <c r="DE294" s="4"/>
      <c r="DF294" s="4"/>
      <c r="DG294" s="4"/>
      <c r="DH294" s="4"/>
      <c r="DI294" s="4"/>
      <c r="DJ294" s="4"/>
      <c r="DK294" s="4"/>
      <c r="DL294" s="4"/>
      <c r="DM294" s="4"/>
      <c r="DN294" s="4"/>
      <c r="DO294" s="4">
        <f t="shared" si="90"/>
        <v>0</v>
      </c>
    </row>
    <row r="295" spans="1:119" s="10" customFormat="1" ht="37.5" customHeight="1" x14ac:dyDescent="0.2">
      <c r="A295" s="863" t="s">
        <v>157</v>
      </c>
      <c r="B295" s="866" t="s">
        <v>57</v>
      </c>
      <c r="C295" s="863" t="s">
        <v>158</v>
      </c>
      <c r="D295" s="4" t="s">
        <v>159</v>
      </c>
      <c r="E295" s="4" t="s">
        <v>146</v>
      </c>
      <c r="F295" s="4" t="s">
        <v>49</v>
      </c>
      <c r="G295" s="866" t="s">
        <v>50</v>
      </c>
      <c r="H295" s="866" t="s">
        <v>61</v>
      </c>
      <c r="I295" s="5">
        <v>43944</v>
      </c>
      <c r="J295" s="58">
        <v>44309</v>
      </c>
      <c r="K295" s="197">
        <v>10413904.220000001</v>
      </c>
      <c r="L295" s="148"/>
      <c r="M295" s="18">
        <f t="shared" si="106"/>
        <v>0</v>
      </c>
      <c r="N295" s="18">
        <f t="shared" si="107"/>
        <v>0</v>
      </c>
      <c r="O295" s="149">
        <f>K295-N295</f>
        <v>10413904.220000001</v>
      </c>
      <c r="P295" s="154">
        <f t="shared" si="108"/>
        <v>0</v>
      </c>
      <c r="Q295" s="66">
        <f t="shared" si="109"/>
        <v>1973129.1980000001</v>
      </c>
      <c r="R295" s="18">
        <f t="shared" si="110"/>
        <v>1973129.1980000001</v>
      </c>
      <c r="S295" s="156">
        <f>K295-R295</f>
        <v>8440775.0219999999</v>
      </c>
      <c r="T295" s="160">
        <f t="shared" si="111"/>
        <v>1973129.1980000001</v>
      </c>
      <c r="U295" s="18">
        <f t="shared" si="112"/>
        <v>0</v>
      </c>
      <c r="V295" s="18">
        <f t="shared" si="113"/>
        <v>1973129.1980000001</v>
      </c>
      <c r="W295" s="216">
        <f>K295-V295</f>
        <v>8440775.0219999999</v>
      </c>
      <c r="X295" s="18">
        <f t="shared" si="114"/>
        <v>1973129.1980000001</v>
      </c>
      <c r="Y295" s="18">
        <f t="shared" si="115"/>
        <v>0</v>
      </c>
      <c r="Z295" s="18">
        <f t="shared" si="116"/>
        <v>1973129.1980000001</v>
      </c>
      <c r="AA295" s="18">
        <f>K295-Z295</f>
        <v>8440775.0219999999</v>
      </c>
      <c r="AB295" s="66">
        <f t="shared" si="117"/>
        <v>1973129.1980000001</v>
      </c>
      <c r="AC295" s="66">
        <f t="shared" si="118"/>
        <v>0</v>
      </c>
      <c r="AD295" s="66">
        <f t="shared" si="119"/>
        <v>1973129.1980000001</v>
      </c>
      <c r="AE295" s="66"/>
      <c r="AF295" s="158">
        <v>0</v>
      </c>
      <c r="AG295" s="44">
        <v>12</v>
      </c>
      <c r="AH295" s="863" t="s">
        <v>1304</v>
      </c>
      <c r="AI295" s="69">
        <v>0</v>
      </c>
      <c r="AJ295" s="69">
        <v>0</v>
      </c>
      <c r="AK295" s="69" t="s">
        <v>53</v>
      </c>
      <c r="AL295" s="69" t="s">
        <v>53</v>
      </c>
      <c r="AM295" s="69" t="s">
        <v>53</v>
      </c>
      <c r="AN295" s="69" t="s">
        <v>54</v>
      </c>
      <c r="AO295" s="866" t="s">
        <v>70</v>
      </c>
      <c r="AP295" s="7"/>
      <c r="AQ295" s="7"/>
      <c r="AR295" s="7"/>
      <c r="AS295" s="7"/>
      <c r="AT295" s="7"/>
      <c r="AU295" s="7"/>
      <c r="AV295" s="7"/>
      <c r="AW295" s="7"/>
      <c r="AX295" s="7"/>
      <c r="AY295" s="7"/>
      <c r="AZ295" s="7"/>
      <c r="BA295" s="7"/>
      <c r="BB295" s="85">
        <f t="shared" si="124"/>
        <v>0</v>
      </c>
      <c r="BC295" s="9">
        <f>1095966.698+877162.5</f>
        <v>1973129.1980000001</v>
      </c>
      <c r="BD295" s="9"/>
      <c r="BE295" s="9"/>
      <c r="BF295" s="9"/>
      <c r="BG295" s="9"/>
      <c r="BH295" s="9"/>
      <c r="BI295" s="9"/>
      <c r="BJ295" s="9"/>
      <c r="BK295" s="9"/>
      <c r="BL295" s="9"/>
      <c r="BM295" s="9"/>
      <c r="BN295" s="9"/>
      <c r="BO295" s="85">
        <f t="shared" si="120"/>
        <v>1973129.1980000001</v>
      </c>
      <c r="BP295" s="39"/>
      <c r="BQ295" s="39"/>
      <c r="BR295" s="39"/>
      <c r="BS295" s="39"/>
      <c r="BT295" s="39"/>
      <c r="BU295" s="39"/>
      <c r="BV295" s="39"/>
      <c r="BW295" s="39"/>
      <c r="BX295" s="39"/>
      <c r="BY295" s="39"/>
      <c r="BZ295" s="39"/>
      <c r="CA295" s="52"/>
      <c r="CB295" s="87">
        <f t="shared" si="121"/>
        <v>0</v>
      </c>
      <c r="CC295" s="112"/>
      <c r="CD295" s="112"/>
      <c r="CE295" s="112"/>
      <c r="CF295" s="112"/>
      <c r="CG295" s="112"/>
      <c r="CH295" s="112"/>
      <c r="CI295" s="112"/>
      <c r="CJ295" s="112"/>
      <c r="CK295" s="112"/>
      <c r="CL295" s="112"/>
      <c r="CM295" s="112"/>
      <c r="CN295" s="112"/>
      <c r="CO295" s="364">
        <f t="shared" si="122"/>
        <v>0</v>
      </c>
      <c r="CP295" s="4"/>
      <c r="CQ295" s="4"/>
      <c r="CR295" s="4"/>
      <c r="CS295" s="4"/>
      <c r="CT295" s="4"/>
      <c r="CU295" s="4"/>
      <c r="CV295" s="4"/>
      <c r="CW295" s="4"/>
      <c r="CX295" s="4"/>
      <c r="CY295" s="4"/>
      <c r="CZ295" s="4"/>
      <c r="DA295" s="4"/>
      <c r="DB295" s="515">
        <f t="shared" si="123"/>
        <v>0</v>
      </c>
      <c r="DC295" s="4"/>
      <c r="DD295" s="4"/>
      <c r="DE295" s="4"/>
      <c r="DF295" s="4"/>
      <c r="DG295" s="4"/>
      <c r="DH295" s="4"/>
      <c r="DI295" s="4"/>
      <c r="DJ295" s="4"/>
      <c r="DK295" s="4"/>
      <c r="DL295" s="4"/>
      <c r="DM295" s="4"/>
      <c r="DN295" s="4"/>
      <c r="DO295" s="4">
        <f t="shared" si="90"/>
        <v>0</v>
      </c>
    </row>
    <row r="296" spans="1:119" s="10" customFormat="1" ht="37.5" customHeight="1" x14ac:dyDescent="0.2">
      <c r="A296" s="865"/>
      <c r="B296" s="867"/>
      <c r="C296" s="864"/>
      <c r="D296" s="4" t="s">
        <v>153</v>
      </c>
      <c r="E296" s="4" t="s">
        <v>147</v>
      </c>
      <c r="F296" s="4" t="s">
        <v>49</v>
      </c>
      <c r="G296" s="867"/>
      <c r="H296" s="867"/>
      <c r="I296" s="5" t="s">
        <v>1301</v>
      </c>
      <c r="J296" s="5" t="s">
        <v>1301</v>
      </c>
      <c r="K296" s="196">
        <v>0</v>
      </c>
      <c r="L296" s="148"/>
      <c r="M296" s="18">
        <f t="shared" si="106"/>
        <v>0</v>
      </c>
      <c r="N296" s="18">
        <f t="shared" si="107"/>
        <v>0</v>
      </c>
      <c r="O296" s="149">
        <f>K296-N296</f>
        <v>0</v>
      </c>
      <c r="P296" s="154">
        <f t="shared" si="108"/>
        <v>0</v>
      </c>
      <c r="Q296" s="66">
        <f t="shared" si="109"/>
        <v>0</v>
      </c>
      <c r="R296" s="18">
        <f t="shared" si="110"/>
        <v>0</v>
      </c>
      <c r="S296" s="156"/>
      <c r="T296" s="160">
        <f t="shared" si="111"/>
        <v>0</v>
      </c>
      <c r="U296" s="18">
        <f t="shared" si="112"/>
        <v>0</v>
      </c>
      <c r="V296" s="18">
        <f t="shared" si="113"/>
        <v>0</v>
      </c>
      <c r="W296" s="216"/>
      <c r="X296" s="18">
        <f t="shared" si="114"/>
        <v>0</v>
      </c>
      <c r="Y296" s="18">
        <f t="shared" si="115"/>
        <v>0</v>
      </c>
      <c r="Z296" s="18">
        <f t="shared" si="116"/>
        <v>0</v>
      </c>
      <c r="AA296" s="18">
        <f>K296-Z296</f>
        <v>0</v>
      </c>
      <c r="AB296" s="66">
        <f t="shared" si="117"/>
        <v>0</v>
      </c>
      <c r="AC296" s="66">
        <f t="shared" si="118"/>
        <v>0</v>
      </c>
      <c r="AD296" s="66">
        <f t="shared" si="119"/>
        <v>0</v>
      </c>
      <c r="AE296" s="66"/>
      <c r="AF296" s="158">
        <v>0</v>
      </c>
      <c r="AG296" s="44" t="s">
        <v>1301</v>
      </c>
      <c r="AH296" s="864"/>
      <c r="AI296" s="69">
        <v>0</v>
      </c>
      <c r="AJ296" s="69">
        <v>0</v>
      </c>
      <c r="AK296" s="69" t="s">
        <v>53</v>
      </c>
      <c r="AL296" s="69" t="s">
        <v>53</v>
      </c>
      <c r="AM296" s="69" t="s">
        <v>53</v>
      </c>
      <c r="AN296" s="69" t="s">
        <v>54</v>
      </c>
      <c r="AO296" s="867"/>
      <c r="AP296" s="7"/>
      <c r="AQ296" s="7"/>
      <c r="AR296" s="7"/>
      <c r="AS296" s="7"/>
      <c r="AT296" s="7"/>
      <c r="AU296" s="7"/>
      <c r="AV296" s="7"/>
      <c r="AW296" s="7"/>
      <c r="AX296" s="7"/>
      <c r="AY296" s="7"/>
      <c r="AZ296" s="7"/>
      <c r="BA296" s="7"/>
      <c r="BB296" s="85">
        <f t="shared" si="124"/>
        <v>0</v>
      </c>
      <c r="BC296" s="9"/>
      <c r="BD296" s="9"/>
      <c r="BE296" s="9"/>
      <c r="BF296" s="9"/>
      <c r="BG296" s="9"/>
      <c r="BH296" s="9"/>
      <c r="BI296" s="9"/>
      <c r="BJ296" s="9"/>
      <c r="BK296" s="9"/>
      <c r="BL296" s="9"/>
      <c r="BM296" s="9"/>
      <c r="BN296" s="9"/>
      <c r="BO296" s="85">
        <f t="shared" si="120"/>
        <v>0</v>
      </c>
      <c r="BP296" s="39"/>
      <c r="BQ296" s="39"/>
      <c r="BR296" s="39"/>
      <c r="BS296" s="39"/>
      <c r="BT296" s="39"/>
      <c r="BU296" s="39"/>
      <c r="BV296" s="39"/>
      <c r="BW296" s="39"/>
      <c r="BX296" s="39"/>
      <c r="BY296" s="39"/>
      <c r="BZ296" s="39"/>
      <c r="CA296" s="52"/>
      <c r="CB296" s="87">
        <f t="shared" si="121"/>
        <v>0</v>
      </c>
      <c r="CC296" s="112"/>
      <c r="CD296" s="112"/>
      <c r="CE296" s="112"/>
      <c r="CF296" s="112"/>
      <c r="CG296" s="112"/>
      <c r="CH296" s="112"/>
      <c r="CI296" s="112"/>
      <c r="CJ296" s="112"/>
      <c r="CK296" s="112"/>
      <c r="CL296" s="112"/>
      <c r="CM296" s="112"/>
      <c r="CN296" s="112"/>
      <c r="CO296" s="364">
        <f t="shared" si="122"/>
        <v>0</v>
      </c>
      <c r="CP296" s="4"/>
      <c r="CQ296" s="4"/>
      <c r="CR296" s="4"/>
      <c r="CS296" s="4"/>
      <c r="CT296" s="4"/>
      <c r="CU296" s="4"/>
      <c r="CV296" s="4"/>
      <c r="CW296" s="4"/>
      <c r="CX296" s="4"/>
      <c r="CY296" s="4"/>
      <c r="CZ296" s="4"/>
      <c r="DA296" s="4"/>
      <c r="DB296" s="515">
        <f t="shared" si="123"/>
        <v>0</v>
      </c>
      <c r="DC296" s="4"/>
      <c r="DD296" s="4"/>
      <c r="DE296" s="4"/>
      <c r="DF296" s="4"/>
      <c r="DG296" s="4"/>
      <c r="DH296" s="4"/>
      <c r="DI296" s="4"/>
      <c r="DJ296" s="4"/>
      <c r="DK296" s="4"/>
      <c r="DL296" s="4"/>
      <c r="DM296" s="4"/>
      <c r="DN296" s="4"/>
      <c r="DO296" s="4">
        <f t="shared" si="90"/>
        <v>0</v>
      </c>
    </row>
    <row r="297" spans="1:119" s="10" customFormat="1" ht="37.5" customHeight="1" x14ac:dyDescent="0.2">
      <c r="A297" s="44"/>
      <c r="B297" s="868"/>
      <c r="C297" s="865"/>
      <c r="D297" s="4" t="s">
        <v>72</v>
      </c>
      <c r="E297" s="4" t="s">
        <v>73</v>
      </c>
      <c r="F297" s="4" t="s">
        <v>49</v>
      </c>
      <c r="G297" s="868"/>
      <c r="H297" s="868"/>
      <c r="I297" s="5">
        <v>43650</v>
      </c>
      <c r="J297" s="58">
        <v>44746</v>
      </c>
      <c r="K297" s="197" t="s">
        <v>142</v>
      </c>
      <c r="L297" s="148"/>
      <c r="M297" s="18">
        <f t="shared" si="106"/>
        <v>127024.262</v>
      </c>
      <c r="N297" s="18">
        <f t="shared" si="107"/>
        <v>127024.262</v>
      </c>
      <c r="O297" s="149"/>
      <c r="P297" s="154">
        <f t="shared" si="108"/>
        <v>127024.262</v>
      </c>
      <c r="Q297" s="66">
        <f t="shared" si="109"/>
        <v>694054.1179999999</v>
      </c>
      <c r="R297" s="18">
        <f t="shared" si="110"/>
        <v>821078.37999999989</v>
      </c>
      <c r="S297" s="156"/>
      <c r="T297" s="160">
        <f t="shared" si="111"/>
        <v>821078.37999999989</v>
      </c>
      <c r="U297" s="18">
        <f t="shared" si="112"/>
        <v>0</v>
      </c>
      <c r="V297" s="18">
        <f t="shared" si="113"/>
        <v>821078.37999999989</v>
      </c>
      <c r="W297" s="216"/>
      <c r="X297" s="18">
        <f t="shared" si="114"/>
        <v>821078.37999999989</v>
      </c>
      <c r="Y297" s="18">
        <f t="shared" si="115"/>
        <v>0</v>
      </c>
      <c r="Z297" s="18">
        <f t="shared" si="116"/>
        <v>821078.37999999989</v>
      </c>
      <c r="AA297" s="18"/>
      <c r="AB297" s="66">
        <f t="shared" si="117"/>
        <v>821078.37999999989</v>
      </c>
      <c r="AC297" s="66">
        <f t="shared" si="118"/>
        <v>0</v>
      </c>
      <c r="AD297" s="66">
        <f t="shared" si="119"/>
        <v>821078.37999999989</v>
      </c>
      <c r="AE297" s="66"/>
      <c r="AF297" s="158">
        <v>0</v>
      </c>
      <c r="AG297" s="44">
        <v>36</v>
      </c>
      <c r="AH297" s="865"/>
      <c r="AI297" s="69">
        <v>0</v>
      </c>
      <c r="AJ297" s="69">
        <v>0</v>
      </c>
      <c r="AK297" s="69" t="s">
        <v>53</v>
      </c>
      <c r="AL297" s="69" t="s">
        <v>53</v>
      </c>
      <c r="AM297" s="69" t="s">
        <v>53</v>
      </c>
      <c r="AN297" s="69" t="s">
        <v>54</v>
      </c>
      <c r="AO297" s="868"/>
      <c r="AP297" s="7"/>
      <c r="AQ297" s="7"/>
      <c r="AR297" s="7"/>
      <c r="AS297" s="7"/>
      <c r="AT297" s="7"/>
      <c r="AU297" s="7"/>
      <c r="AV297" s="7"/>
      <c r="AW297" s="7"/>
      <c r="AX297" s="7"/>
      <c r="AY297" s="7">
        <v>127024.262</v>
      </c>
      <c r="AZ297" s="7"/>
      <c r="BA297" s="7"/>
      <c r="BB297" s="85">
        <f t="shared" si="124"/>
        <v>127024.262</v>
      </c>
      <c r="BC297" s="9"/>
      <c r="BD297" s="9"/>
      <c r="BE297" s="9"/>
      <c r="BF297" s="9"/>
      <c r="BG297" s="9"/>
      <c r="BH297" s="9"/>
      <c r="BI297" s="9"/>
      <c r="BJ297" s="9"/>
      <c r="BK297" s="9">
        <v>694054.1179999999</v>
      </c>
      <c r="BL297" s="9"/>
      <c r="BM297" s="9"/>
      <c r="BN297" s="9"/>
      <c r="BO297" s="85">
        <f t="shared" si="120"/>
        <v>694054.1179999999</v>
      </c>
      <c r="BP297" s="39"/>
      <c r="BQ297" s="39"/>
      <c r="BR297" s="39"/>
      <c r="BS297" s="39"/>
      <c r="BT297" s="39"/>
      <c r="BU297" s="39"/>
      <c r="BV297" s="39"/>
      <c r="BW297" s="39"/>
      <c r="BX297" s="39"/>
      <c r="BY297" s="39"/>
      <c r="BZ297" s="39"/>
      <c r="CA297" s="52"/>
      <c r="CB297" s="87">
        <f t="shared" si="121"/>
        <v>0</v>
      </c>
      <c r="CC297" s="112"/>
      <c r="CD297" s="112"/>
      <c r="CE297" s="112"/>
      <c r="CF297" s="112"/>
      <c r="CG297" s="112"/>
      <c r="CH297" s="112"/>
      <c r="CI297" s="112"/>
      <c r="CJ297" s="112"/>
      <c r="CK297" s="112"/>
      <c r="CL297" s="112"/>
      <c r="CM297" s="112"/>
      <c r="CN297" s="112"/>
      <c r="CO297" s="364">
        <f t="shared" si="122"/>
        <v>0</v>
      </c>
      <c r="CP297" s="4"/>
      <c r="CQ297" s="4"/>
      <c r="CR297" s="4"/>
      <c r="CS297" s="4"/>
      <c r="CT297" s="4"/>
      <c r="CU297" s="4"/>
      <c r="CV297" s="4"/>
      <c r="CW297" s="4"/>
      <c r="CX297" s="4"/>
      <c r="CY297" s="4"/>
      <c r="CZ297" s="4"/>
      <c r="DA297" s="4"/>
      <c r="DB297" s="515">
        <f t="shared" si="123"/>
        <v>0</v>
      </c>
      <c r="DC297" s="4"/>
      <c r="DD297" s="4"/>
      <c r="DE297" s="4"/>
      <c r="DF297" s="4"/>
      <c r="DG297" s="4"/>
      <c r="DH297" s="4"/>
      <c r="DI297" s="4"/>
      <c r="DJ297" s="4"/>
      <c r="DK297" s="4"/>
      <c r="DL297" s="4"/>
      <c r="DM297" s="4"/>
      <c r="DN297" s="4"/>
      <c r="DO297" s="4">
        <f t="shared" si="90"/>
        <v>0</v>
      </c>
    </row>
    <row r="298" spans="1:119" s="13" customFormat="1" ht="15.6" customHeight="1" x14ac:dyDescent="0.2">
      <c r="A298" s="859" t="s">
        <v>211</v>
      </c>
      <c r="B298" s="859" t="s">
        <v>57</v>
      </c>
      <c r="C298" s="859" t="s">
        <v>212</v>
      </c>
      <c r="D298" s="239" t="s">
        <v>213</v>
      </c>
      <c r="E298" s="4" t="s">
        <v>214</v>
      </c>
      <c r="F298" s="4" t="s">
        <v>49</v>
      </c>
      <c r="G298" s="860" t="s">
        <v>50</v>
      </c>
      <c r="H298" s="860" t="s">
        <v>61</v>
      </c>
      <c r="I298" s="266">
        <v>43672</v>
      </c>
      <c r="J298" s="14">
        <v>43795</v>
      </c>
      <c r="K298" s="204">
        <v>1170000.26</v>
      </c>
      <c r="L298" s="150"/>
      <c r="M298" s="18">
        <f t="shared" si="106"/>
        <v>856594.3600000001</v>
      </c>
      <c r="N298" s="18">
        <f t="shared" si="107"/>
        <v>856594.3600000001</v>
      </c>
      <c r="O298" s="149">
        <f t="shared" ref="O298:O306" si="125">K298-N298</f>
        <v>313405.89999999991</v>
      </c>
      <c r="P298" s="154">
        <f t="shared" si="108"/>
        <v>856594.3600000001</v>
      </c>
      <c r="Q298" s="66">
        <f t="shared" si="109"/>
        <v>159633.43</v>
      </c>
      <c r="R298" s="18">
        <f t="shared" si="110"/>
        <v>1016227.79</v>
      </c>
      <c r="S298" s="156">
        <f t="shared" ref="S298:S306" si="126">K298-R298</f>
        <v>153772.46999999997</v>
      </c>
      <c r="T298" s="160">
        <f t="shared" si="111"/>
        <v>1016227.79</v>
      </c>
      <c r="U298" s="18">
        <f t="shared" si="112"/>
        <v>0</v>
      </c>
      <c r="V298" s="18">
        <f t="shared" si="113"/>
        <v>1016227.79</v>
      </c>
      <c r="W298" s="216">
        <f t="shared" ref="W298:W306" si="127">K298-V298</f>
        <v>153772.46999999997</v>
      </c>
      <c r="X298" s="18">
        <f t="shared" si="114"/>
        <v>1016227.79</v>
      </c>
      <c r="Y298" s="18">
        <f t="shared" si="115"/>
        <v>250211.25</v>
      </c>
      <c r="Z298" s="246">
        <f t="shared" si="116"/>
        <v>1266439.04</v>
      </c>
      <c r="AA298" s="18">
        <f t="shared" ref="AA298:AA306" si="128">K298-Z298</f>
        <v>-96438.780000000028</v>
      </c>
      <c r="AB298" s="66">
        <f t="shared" si="117"/>
        <v>1266439.04</v>
      </c>
      <c r="AC298" s="66">
        <f t="shared" si="118"/>
        <v>0</v>
      </c>
      <c r="AD298" s="66">
        <f t="shared" si="119"/>
        <v>1266439.04</v>
      </c>
      <c r="AE298" s="66"/>
      <c r="AF298" s="158">
        <v>0</v>
      </c>
      <c r="AG298" s="44">
        <v>4</v>
      </c>
      <c r="AH298" s="863" t="s">
        <v>1304</v>
      </c>
      <c r="AI298" s="69">
        <v>0</v>
      </c>
      <c r="AJ298" s="69">
        <v>0</v>
      </c>
      <c r="AK298" s="69" t="s">
        <v>53</v>
      </c>
      <c r="AL298" s="69" t="s">
        <v>53</v>
      </c>
      <c r="AM298" s="69" t="s">
        <v>53</v>
      </c>
      <c r="AN298" s="69" t="s">
        <v>54</v>
      </c>
      <c r="AO298" s="866" t="s">
        <v>70</v>
      </c>
      <c r="AP298" s="7"/>
      <c r="AQ298" s="7"/>
      <c r="AR298" s="7"/>
      <c r="AS298" s="7">
        <v>168352.84</v>
      </c>
      <c r="AT298" s="7">
        <v>196365.2</v>
      </c>
      <c r="AU298" s="7">
        <v>309709.63</v>
      </c>
      <c r="AV298" s="7"/>
      <c r="AW298" s="7">
        <v>182166.69</v>
      </c>
      <c r="AX298" s="7"/>
      <c r="AY298" s="7"/>
      <c r="AZ298" s="7"/>
      <c r="BA298" s="7"/>
      <c r="BB298" s="85">
        <f t="shared" si="124"/>
        <v>856594.3600000001</v>
      </c>
      <c r="BC298" s="11"/>
      <c r="BD298" s="11"/>
      <c r="BE298" s="11"/>
      <c r="BF298" s="11"/>
      <c r="BG298" s="11"/>
      <c r="BH298" s="11"/>
      <c r="BI298" s="11"/>
      <c r="BJ298" s="11"/>
      <c r="BK298" s="11">
        <v>159633.43</v>
      </c>
      <c r="BL298" s="11"/>
      <c r="BM298" s="11"/>
      <c r="BN298" s="11"/>
      <c r="BO298" s="85">
        <f t="shared" si="120"/>
        <v>159633.43</v>
      </c>
      <c r="BP298" s="40"/>
      <c r="BQ298" s="40"/>
      <c r="BR298" s="40"/>
      <c r="BS298" s="40"/>
      <c r="BT298" s="40"/>
      <c r="BU298" s="40"/>
      <c r="BV298" s="40"/>
      <c r="BW298" s="40"/>
      <c r="BX298" s="40"/>
      <c r="BY298" s="40"/>
      <c r="BZ298" s="40"/>
      <c r="CA298" s="54"/>
      <c r="CB298" s="87">
        <f t="shared" si="121"/>
        <v>0</v>
      </c>
      <c r="CC298" s="228"/>
      <c r="CD298" s="290">
        <v>250211.25</v>
      </c>
      <c r="CE298" s="228"/>
      <c r="CF298" s="228"/>
      <c r="CG298" s="228"/>
      <c r="CH298" s="228"/>
      <c r="CI298" s="228"/>
      <c r="CJ298" s="228"/>
      <c r="CK298" s="228"/>
      <c r="CL298" s="228"/>
      <c r="CM298" s="228"/>
      <c r="CN298" s="228"/>
      <c r="CO298" s="364">
        <f t="shared" si="122"/>
        <v>250211.25</v>
      </c>
      <c r="CP298" s="2"/>
      <c r="CQ298" s="2"/>
      <c r="CR298" s="2"/>
      <c r="CS298" s="2"/>
      <c r="CT298" s="2"/>
      <c r="CU298" s="2"/>
      <c r="CV298" s="2"/>
      <c r="CW298" s="2"/>
      <c r="CX298" s="2"/>
      <c r="CY298" s="2"/>
      <c r="CZ298" s="2"/>
      <c r="DA298" s="2"/>
      <c r="DB298" s="515">
        <f t="shared" si="123"/>
        <v>0</v>
      </c>
      <c r="DC298" s="2"/>
      <c r="DD298" s="2"/>
      <c r="DE298" s="2"/>
      <c r="DF298" s="2"/>
      <c r="DG298" s="2"/>
      <c r="DH298" s="2"/>
      <c r="DI298" s="2"/>
      <c r="DJ298" s="2"/>
      <c r="DK298" s="2"/>
      <c r="DL298" s="2"/>
      <c r="DM298" s="2"/>
      <c r="DN298" s="2"/>
      <c r="DO298" s="2">
        <f t="shared" si="90"/>
        <v>0</v>
      </c>
    </row>
    <row r="299" spans="1:119" s="13" customFormat="1" ht="15.6" customHeight="1" x14ac:dyDescent="0.2">
      <c r="A299" s="859"/>
      <c r="B299" s="859"/>
      <c r="C299" s="859"/>
      <c r="D299" s="4" t="s">
        <v>215</v>
      </c>
      <c r="E299" s="4" t="s">
        <v>216</v>
      </c>
      <c r="F299" s="4" t="s">
        <v>49</v>
      </c>
      <c r="G299" s="860"/>
      <c r="H299" s="860"/>
      <c r="I299" s="5">
        <v>42338</v>
      </c>
      <c r="J299" s="14">
        <v>42704</v>
      </c>
      <c r="K299" s="197">
        <v>90000</v>
      </c>
      <c r="L299" s="150"/>
      <c r="M299" s="18">
        <f t="shared" si="106"/>
        <v>54589.03</v>
      </c>
      <c r="N299" s="18">
        <f t="shared" si="107"/>
        <v>54589.03</v>
      </c>
      <c r="O299" s="149">
        <f t="shared" si="125"/>
        <v>35410.97</v>
      </c>
      <c r="P299" s="154">
        <f t="shared" si="108"/>
        <v>54589.03</v>
      </c>
      <c r="Q299" s="66">
        <f t="shared" si="109"/>
        <v>0</v>
      </c>
      <c r="R299" s="18">
        <f t="shared" si="110"/>
        <v>54589.03</v>
      </c>
      <c r="S299" s="156">
        <f t="shared" si="126"/>
        <v>35410.97</v>
      </c>
      <c r="T299" s="160">
        <f t="shared" si="111"/>
        <v>54589.03</v>
      </c>
      <c r="U299" s="18">
        <f t="shared" si="112"/>
        <v>0</v>
      </c>
      <c r="V299" s="18">
        <f t="shared" si="113"/>
        <v>54589.03</v>
      </c>
      <c r="W299" s="216">
        <f t="shared" si="127"/>
        <v>35410.97</v>
      </c>
      <c r="X299" s="18">
        <f t="shared" si="114"/>
        <v>54589.03</v>
      </c>
      <c r="Y299" s="18">
        <f t="shared" si="115"/>
        <v>0</v>
      </c>
      <c r="Z299" s="18">
        <f t="shared" si="116"/>
        <v>54589.03</v>
      </c>
      <c r="AA299" s="18">
        <f t="shared" si="128"/>
        <v>35410.97</v>
      </c>
      <c r="AB299" s="66">
        <f t="shared" si="117"/>
        <v>54589.03</v>
      </c>
      <c r="AC299" s="66">
        <f t="shared" si="118"/>
        <v>0</v>
      </c>
      <c r="AD299" s="66">
        <f t="shared" si="119"/>
        <v>54589.03</v>
      </c>
      <c r="AE299" s="66"/>
      <c r="AF299" s="158">
        <v>0</v>
      </c>
      <c r="AG299" s="44">
        <v>12</v>
      </c>
      <c r="AH299" s="865"/>
      <c r="AI299" s="69">
        <v>0</v>
      </c>
      <c r="AJ299" s="69">
        <v>0</v>
      </c>
      <c r="AK299" s="69" t="s">
        <v>53</v>
      </c>
      <c r="AL299" s="69" t="s">
        <v>53</v>
      </c>
      <c r="AM299" s="69" t="s">
        <v>53</v>
      </c>
      <c r="AN299" s="69" t="s">
        <v>54</v>
      </c>
      <c r="AO299" s="868"/>
      <c r="AP299" s="7"/>
      <c r="AQ299" s="7">
        <v>54589.03</v>
      </c>
      <c r="AR299" s="7"/>
      <c r="AS299" s="7"/>
      <c r="AT299" s="7"/>
      <c r="AU299" s="7"/>
      <c r="AV299" s="7"/>
      <c r="AW299" s="7"/>
      <c r="AX299" s="7"/>
      <c r="AY299" s="7"/>
      <c r="AZ299" s="7"/>
      <c r="BA299" s="7"/>
      <c r="BB299" s="85">
        <f t="shared" si="124"/>
        <v>54589.03</v>
      </c>
      <c r="BC299" s="11"/>
      <c r="BD299" s="11"/>
      <c r="BE299" s="11"/>
      <c r="BF299" s="11"/>
      <c r="BG299" s="11"/>
      <c r="BH299" s="11"/>
      <c r="BI299" s="11"/>
      <c r="BJ299" s="11"/>
      <c r="BK299" s="11"/>
      <c r="BL299" s="11"/>
      <c r="BM299" s="11"/>
      <c r="BN299" s="11"/>
      <c r="BO299" s="85">
        <f t="shared" si="120"/>
        <v>0</v>
      </c>
      <c r="BP299" s="40"/>
      <c r="BQ299" s="40"/>
      <c r="BR299" s="40"/>
      <c r="BS299" s="40"/>
      <c r="BT299" s="40"/>
      <c r="BU299" s="40"/>
      <c r="BV299" s="40"/>
      <c r="BW299" s="40"/>
      <c r="BX299" s="40"/>
      <c r="BY299" s="40"/>
      <c r="BZ299" s="40"/>
      <c r="CA299" s="54"/>
      <c r="CB299" s="87">
        <f t="shared" si="121"/>
        <v>0</v>
      </c>
      <c r="CC299" s="25"/>
      <c r="CD299" s="228"/>
      <c r="CE299" s="228"/>
      <c r="CF299" s="228"/>
      <c r="CG299" s="228"/>
      <c r="CH299" s="228"/>
      <c r="CI299" s="228"/>
      <c r="CJ299" s="228"/>
      <c r="CK299" s="228"/>
      <c r="CL299" s="228"/>
      <c r="CM299" s="228"/>
      <c r="CN299" s="228"/>
      <c r="CO299" s="364">
        <f t="shared" si="122"/>
        <v>0</v>
      </c>
      <c r="CP299" s="2"/>
      <c r="CQ299" s="2"/>
      <c r="CR299" s="2"/>
      <c r="CS299" s="2"/>
      <c r="CT299" s="2"/>
      <c r="CU299" s="2"/>
      <c r="CV299" s="2"/>
      <c r="CW299" s="2"/>
      <c r="CX299" s="2"/>
      <c r="CY299" s="2"/>
      <c r="CZ299" s="2"/>
      <c r="DA299" s="2"/>
      <c r="DB299" s="515">
        <f t="shared" si="123"/>
        <v>0</v>
      </c>
      <c r="DC299" s="2"/>
      <c r="DD299" s="2"/>
      <c r="DE299" s="2"/>
      <c r="DF299" s="2"/>
      <c r="DG299" s="2"/>
      <c r="DH299" s="2"/>
      <c r="DI299" s="2"/>
      <c r="DJ299" s="2"/>
      <c r="DK299" s="2"/>
      <c r="DL299" s="2"/>
      <c r="DM299" s="2"/>
      <c r="DN299" s="2"/>
      <c r="DO299" s="2">
        <f t="shared" si="90"/>
        <v>0</v>
      </c>
    </row>
    <row r="300" spans="1:119" s="19" customFormat="1" ht="264.75" thickBot="1" x14ac:dyDescent="0.25">
      <c r="A300" s="1" t="s">
        <v>217</v>
      </c>
      <c r="B300" s="1" t="s">
        <v>107</v>
      </c>
      <c r="C300" s="43" t="s">
        <v>218</v>
      </c>
      <c r="D300" s="1" t="s">
        <v>219</v>
      </c>
      <c r="E300" s="1" t="s">
        <v>220</v>
      </c>
      <c r="F300" s="4" t="s">
        <v>49</v>
      </c>
      <c r="G300" s="1" t="s">
        <v>50</v>
      </c>
      <c r="H300" s="46" t="s">
        <v>61</v>
      </c>
      <c r="I300" s="24">
        <v>42191</v>
      </c>
      <c r="J300" s="24">
        <v>42557</v>
      </c>
      <c r="K300" s="195">
        <v>25863071.52</v>
      </c>
      <c r="L300" s="184"/>
      <c r="M300" s="18">
        <f t="shared" si="106"/>
        <v>24506554.77</v>
      </c>
      <c r="N300" s="18">
        <f t="shared" si="107"/>
        <v>24506554.77</v>
      </c>
      <c r="O300" s="149">
        <f t="shared" si="125"/>
        <v>1356516.75</v>
      </c>
      <c r="P300" s="154">
        <f t="shared" si="108"/>
        <v>24506554.77</v>
      </c>
      <c r="Q300" s="66">
        <f t="shared" si="109"/>
        <v>0</v>
      </c>
      <c r="R300" s="18">
        <f t="shared" si="110"/>
        <v>24506554.77</v>
      </c>
      <c r="S300" s="156">
        <f t="shared" si="126"/>
        <v>1356516.75</v>
      </c>
      <c r="T300" s="160">
        <f t="shared" si="111"/>
        <v>24506554.77</v>
      </c>
      <c r="U300" s="18">
        <f t="shared" si="112"/>
        <v>0</v>
      </c>
      <c r="V300" s="18">
        <f t="shared" si="113"/>
        <v>24506554.77</v>
      </c>
      <c r="W300" s="216">
        <f t="shared" si="127"/>
        <v>1356516.75</v>
      </c>
      <c r="X300" s="18">
        <f t="shared" si="114"/>
        <v>24506554.77</v>
      </c>
      <c r="Y300" s="18">
        <f t="shared" si="115"/>
        <v>0</v>
      </c>
      <c r="Z300" s="18">
        <f t="shared" si="116"/>
        <v>24506554.77</v>
      </c>
      <c r="AA300" s="18">
        <f t="shared" si="128"/>
        <v>1356516.75</v>
      </c>
      <c r="AB300" s="66">
        <f t="shared" si="117"/>
        <v>24506554.77</v>
      </c>
      <c r="AC300" s="66">
        <f t="shared" si="118"/>
        <v>0</v>
      </c>
      <c r="AD300" s="66">
        <f t="shared" si="119"/>
        <v>24506554.77</v>
      </c>
      <c r="AE300" s="66"/>
      <c r="AF300" s="158">
        <v>0</v>
      </c>
      <c r="AG300" s="46">
        <v>12</v>
      </c>
      <c r="AH300" s="44" t="s">
        <v>1304</v>
      </c>
      <c r="AI300" s="69">
        <v>0</v>
      </c>
      <c r="AJ300" s="69">
        <v>0</v>
      </c>
      <c r="AK300" s="69" t="s">
        <v>53</v>
      </c>
      <c r="AL300" s="69" t="s">
        <v>53</v>
      </c>
      <c r="AM300" s="69" t="s">
        <v>53</v>
      </c>
      <c r="AN300" s="69" t="s">
        <v>54</v>
      </c>
      <c r="AO300" s="141" t="s">
        <v>70</v>
      </c>
      <c r="AP300" s="1"/>
      <c r="AQ300" s="1"/>
      <c r="AR300" s="1"/>
      <c r="AS300" s="1"/>
      <c r="AT300" s="1"/>
      <c r="AU300" s="1"/>
      <c r="AV300" s="1"/>
      <c r="AW300" s="42">
        <v>6696166.8899999997</v>
      </c>
      <c r="AX300" s="42"/>
      <c r="AY300" s="42"/>
      <c r="AZ300" s="42">
        <v>14737081.699999999</v>
      </c>
      <c r="BA300" s="42">
        <f>2548306.19+524999.99</f>
        <v>3073306.1799999997</v>
      </c>
      <c r="BB300" s="85">
        <f t="shared" si="124"/>
        <v>24506554.77</v>
      </c>
      <c r="BC300" s="1"/>
      <c r="BD300" s="1"/>
      <c r="BE300" s="1"/>
      <c r="BF300" s="1"/>
      <c r="BG300" s="1"/>
      <c r="BH300" s="1"/>
      <c r="BI300" s="1"/>
      <c r="BJ300" s="1"/>
      <c r="BK300" s="1"/>
      <c r="BL300" s="1"/>
      <c r="BM300" s="1"/>
      <c r="BN300" s="1"/>
      <c r="BO300" s="85">
        <f t="shared" si="120"/>
        <v>0</v>
      </c>
      <c r="BP300" s="42"/>
      <c r="BQ300" s="42"/>
      <c r="BR300" s="42"/>
      <c r="BS300" s="42"/>
      <c r="BT300" s="42"/>
      <c r="BU300" s="42"/>
      <c r="BV300" s="42"/>
      <c r="BW300" s="42"/>
      <c r="BX300" s="42"/>
      <c r="BY300" s="42"/>
      <c r="BZ300" s="42"/>
      <c r="CA300" s="56"/>
      <c r="CB300" s="87">
        <f t="shared" si="121"/>
        <v>0</v>
      </c>
      <c r="CC300" s="230"/>
      <c r="CD300" s="25"/>
      <c r="CE300" s="25"/>
      <c r="CF300" s="25"/>
      <c r="CG300" s="25"/>
      <c r="CH300" s="25"/>
      <c r="CI300" s="25"/>
      <c r="CJ300" s="25"/>
      <c r="CK300" s="25"/>
      <c r="CL300" s="25"/>
      <c r="CM300" s="25"/>
      <c r="CN300" s="25"/>
      <c r="CO300" s="364">
        <f t="shared" si="122"/>
        <v>0</v>
      </c>
      <c r="CP300" s="1"/>
      <c r="CQ300" s="1"/>
      <c r="CR300" s="1"/>
      <c r="CS300" s="1"/>
      <c r="CT300" s="1"/>
      <c r="CU300" s="1"/>
      <c r="CV300" s="1"/>
      <c r="CW300" s="1"/>
      <c r="CX300" s="1"/>
      <c r="CY300" s="1"/>
      <c r="CZ300" s="1"/>
      <c r="DA300" s="1"/>
      <c r="DB300" s="515">
        <f t="shared" si="123"/>
        <v>0</v>
      </c>
      <c r="DC300" s="1"/>
      <c r="DD300" s="1"/>
      <c r="DE300" s="1"/>
      <c r="DF300" s="1"/>
      <c r="DG300" s="1"/>
      <c r="DH300" s="1"/>
      <c r="DI300" s="1"/>
      <c r="DJ300" s="1"/>
      <c r="DK300" s="1"/>
      <c r="DL300" s="1"/>
      <c r="DM300" s="1"/>
      <c r="DN300" s="1"/>
      <c r="DO300" s="1">
        <f t="shared" si="90"/>
        <v>0</v>
      </c>
    </row>
    <row r="301" spans="1:119" s="19" customFormat="1" ht="61.5" customHeight="1" thickBot="1" x14ac:dyDescent="0.25">
      <c r="A301" s="4" t="s">
        <v>507</v>
      </c>
      <c r="B301" s="33" t="s">
        <v>107</v>
      </c>
      <c r="C301" s="1" t="s">
        <v>508</v>
      </c>
      <c r="D301" s="1" t="s">
        <v>509</v>
      </c>
      <c r="E301" s="4" t="s">
        <v>200</v>
      </c>
      <c r="F301" s="1" t="s">
        <v>49</v>
      </c>
      <c r="G301" s="33" t="s">
        <v>456</v>
      </c>
      <c r="H301" s="33" t="s">
        <v>51</v>
      </c>
      <c r="I301" s="266">
        <v>44145</v>
      </c>
      <c r="J301" s="266">
        <v>45240</v>
      </c>
      <c r="K301" s="240">
        <v>17731377.239999998</v>
      </c>
      <c r="L301" s="172"/>
      <c r="M301" s="136">
        <f t="shared" si="106"/>
        <v>0</v>
      </c>
      <c r="N301" s="136">
        <f t="shared" si="107"/>
        <v>0</v>
      </c>
      <c r="O301" s="137">
        <f t="shared" si="125"/>
        <v>17731377.239999998</v>
      </c>
      <c r="P301" s="135">
        <f t="shared" si="108"/>
        <v>0</v>
      </c>
      <c r="Q301" s="136">
        <f t="shared" si="109"/>
        <v>4997091.74</v>
      </c>
      <c r="R301" s="136">
        <f t="shared" si="110"/>
        <v>4997091.74</v>
      </c>
      <c r="S301" s="137">
        <f t="shared" si="126"/>
        <v>12734285.499999998</v>
      </c>
      <c r="T301" s="135">
        <f t="shared" si="111"/>
        <v>4997091.74</v>
      </c>
      <c r="U301" s="136">
        <f t="shared" si="112"/>
        <v>24642278.690000001</v>
      </c>
      <c r="V301" s="136">
        <f t="shared" si="113"/>
        <v>29639370.43</v>
      </c>
      <c r="W301" s="207">
        <f t="shared" si="127"/>
        <v>-11907993.190000001</v>
      </c>
      <c r="X301" s="259">
        <f t="shared" si="114"/>
        <v>29639370.43</v>
      </c>
      <c r="Y301" s="136">
        <f t="shared" si="115"/>
        <v>464969.78</v>
      </c>
      <c r="Z301" s="136">
        <f t="shared" si="116"/>
        <v>30104340.210000001</v>
      </c>
      <c r="AA301" s="137">
        <f t="shared" si="128"/>
        <v>-12372962.970000003</v>
      </c>
      <c r="AB301" s="66">
        <f t="shared" si="117"/>
        <v>30104340.210000001</v>
      </c>
      <c r="AC301" s="66">
        <f t="shared" si="118"/>
        <v>0</v>
      </c>
      <c r="AD301" s="66">
        <f t="shared" si="119"/>
        <v>30104340.210000001</v>
      </c>
      <c r="AE301" s="362"/>
      <c r="AF301" s="158">
        <v>0</v>
      </c>
      <c r="AG301" s="46">
        <v>36</v>
      </c>
      <c r="AH301" s="44" t="s">
        <v>1304</v>
      </c>
      <c r="AI301" s="46">
        <v>0</v>
      </c>
      <c r="AJ301" s="46">
        <v>0</v>
      </c>
      <c r="AK301" s="46" t="s">
        <v>53</v>
      </c>
      <c r="AL301" s="46" t="s">
        <v>53</v>
      </c>
      <c r="AM301" s="46" t="s">
        <v>53</v>
      </c>
      <c r="AN301" s="46" t="s">
        <v>54</v>
      </c>
      <c r="AO301" s="33" t="s">
        <v>1330</v>
      </c>
      <c r="AP301" s="15"/>
      <c r="AQ301" s="15"/>
      <c r="AR301" s="15"/>
      <c r="AS301" s="15"/>
      <c r="AT301" s="15"/>
      <c r="AU301" s="15"/>
      <c r="AV301" s="15"/>
      <c r="AW301" s="108"/>
      <c r="AX301" s="15"/>
      <c r="AY301" s="15"/>
      <c r="AZ301" s="15"/>
      <c r="BA301" s="100"/>
      <c r="BB301" s="42"/>
      <c r="BC301" s="42"/>
      <c r="BD301" s="42"/>
      <c r="BE301" s="42"/>
      <c r="BF301" s="42"/>
      <c r="BH301" s="289">
        <v>1137916.8400000001</v>
      </c>
      <c r="BI301" s="289">
        <v>1829045.62</v>
      </c>
      <c r="BJ301" s="42"/>
      <c r="BK301" s="42"/>
      <c r="BL301" s="289">
        <v>1322561.96</v>
      </c>
      <c r="BM301" s="42"/>
      <c r="BN301" s="289">
        <v>707567.32</v>
      </c>
      <c r="BO301" s="87">
        <f>SUM(BB301:BN301)</f>
        <v>4997091.74</v>
      </c>
      <c r="BQ301" s="15">
        <v>3826851.62</v>
      </c>
      <c r="BR301" s="15"/>
      <c r="BS301" s="15">
        <v>2998931.99</v>
      </c>
      <c r="BT301" s="15"/>
      <c r="BU301" s="15">
        <v>3016497.3</v>
      </c>
      <c r="BV301" s="15"/>
      <c r="BW301" s="15"/>
      <c r="BX301" s="15"/>
      <c r="BY301" s="15">
        <v>9296665.1799999997</v>
      </c>
      <c r="BZ301" s="15">
        <v>2194046.35</v>
      </c>
      <c r="CA301" s="107">
        <f>1548486.34+1760799.91</f>
        <v>3309286.25</v>
      </c>
      <c r="CB301" s="211">
        <f t="shared" si="121"/>
        <v>24642278.690000001</v>
      </c>
      <c r="CC301" s="241">
        <v>0</v>
      </c>
      <c r="CD301" s="289">
        <v>464969.78</v>
      </c>
      <c r="CE301" s="42"/>
      <c r="CF301" s="42"/>
      <c r="CG301" s="42"/>
      <c r="CH301" s="42"/>
      <c r="CI301" s="42"/>
      <c r="CJ301" s="42"/>
      <c r="CK301" s="42"/>
      <c r="CL301" s="42"/>
      <c r="CM301" s="42"/>
      <c r="CN301" s="42"/>
      <c r="CO301" s="365">
        <f t="shared" si="122"/>
        <v>464969.78</v>
      </c>
      <c r="CP301" s="1"/>
      <c r="CQ301" s="1"/>
      <c r="CR301" s="1"/>
      <c r="CS301" s="1"/>
      <c r="CT301" s="1"/>
      <c r="CU301" s="1"/>
      <c r="CV301" s="1"/>
      <c r="CW301" s="1"/>
      <c r="CX301" s="1"/>
      <c r="CY301" s="1"/>
      <c r="CZ301" s="1"/>
      <c r="DA301" s="1"/>
      <c r="DB301" s="515">
        <f t="shared" si="123"/>
        <v>0</v>
      </c>
      <c r="DC301" s="1"/>
      <c r="DD301" s="1"/>
      <c r="DE301" s="1"/>
      <c r="DF301" s="1"/>
      <c r="DG301" s="1"/>
      <c r="DH301" s="1"/>
      <c r="DI301" s="1"/>
      <c r="DJ301" s="1"/>
      <c r="DK301" s="1"/>
      <c r="DL301" s="1"/>
      <c r="DM301" s="1"/>
      <c r="DN301" s="1"/>
      <c r="DO301" s="1">
        <f t="shared" si="90"/>
        <v>0</v>
      </c>
    </row>
    <row r="302" spans="1:119" s="19" customFormat="1" ht="21.75" customHeight="1" thickBot="1" x14ac:dyDescent="0.25">
      <c r="A302" s="4" t="s">
        <v>318</v>
      </c>
      <c r="B302" s="1" t="s">
        <v>107</v>
      </c>
      <c r="C302" s="1" t="s">
        <v>319</v>
      </c>
      <c r="D302" s="1" t="s">
        <v>320</v>
      </c>
      <c r="E302" s="1" t="s">
        <v>321</v>
      </c>
      <c r="F302" s="1" t="s">
        <v>49</v>
      </c>
      <c r="G302" s="33" t="s">
        <v>315</v>
      </c>
      <c r="H302" s="1" t="s">
        <v>322</v>
      </c>
      <c r="I302" s="58">
        <v>42976</v>
      </c>
      <c r="J302" s="58">
        <v>45107</v>
      </c>
      <c r="K302" s="198">
        <v>920000</v>
      </c>
      <c r="L302" s="135"/>
      <c r="M302" s="136">
        <f t="shared" si="106"/>
        <v>106324.56999999998</v>
      </c>
      <c r="N302" s="136">
        <f t="shared" si="107"/>
        <v>106324.56999999998</v>
      </c>
      <c r="O302" s="137">
        <f t="shared" si="125"/>
        <v>813675.43</v>
      </c>
      <c r="P302" s="135">
        <f t="shared" si="108"/>
        <v>106324.56999999998</v>
      </c>
      <c r="Q302" s="136">
        <f t="shared" si="109"/>
        <v>90789.48</v>
      </c>
      <c r="R302" s="136">
        <f t="shared" si="110"/>
        <v>197114.05</v>
      </c>
      <c r="S302" s="137">
        <f t="shared" si="126"/>
        <v>722885.95</v>
      </c>
      <c r="T302" s="135">
        <f t="shared" si="111"/>
        <v>197114.05</v>
      </c>
      <c r="U302" s="136">
        <f t="shared" si="112"/>
        <v>97114.679999999978</v>
      </c>
      <c r="V302" s="136">
        <f t="shared" si="113"/>
        <v>294228.73</v>
      </c>
      <c r="W302" s="207">
        <f t="shared" si="127"/>
        <v>625771.27</v>
      </c>
      <c r="X302" s="135">
        <f t="shared" si="114"/>
        <v>294228.73</v>
      </c>
      <c r="Y302" s="136">
        <f t="shared" si="115"/>
        <v>90789.479999999981</v>
      </c>
      <c r="Z302" s="136">
        <f t="shared" si="116"/>
        <v>385018.20999999996</v>
      </c>
      <c r="AA302" s="137">
        <f t="shared" si="128"/>
        <v>534981.79</v>
      </c>
      <c r="AB302" s="362">
        <f t="shared" si="117"/>
        <v>385018.20999999996</v>
      </c>
      <c r="AC302" s="362">
        <f t="shared" si="118"/>
        <v>0</v>
      </c>
      <c r="AD302" s="362">
        <f t="shared" si="119"/>
        <v>385018.20999999996</v>
      </c>
      <c r="AE302" s="362">
        <f>K302-Z302</f>
        <v>534981.79</v>
      </c>
      <c r="AF302" s="171">
        <v>0</v>
      </c>
      <c r="AG302" s="101">
        <v>36</v>
      </c>
      <c r="AH302" s="46" t="s">
        <v>1304</v>
      </c>
      <c r="AI302" s="46">
        <v>0</v>
      </c>
      <c r="AJ302" s="46">
        <v>0</v>
      </c>
      <c r="AK302" s="46" t="s">
        <v>53</v>
      </c>
      <c r="AL302" s="46" t="s">
        <v>53</v>
      </c>
      <c r="AM302" s="46" t="s">
        <v>53</v>
      </c>
      <c r="AN302" s="46" t="s">
        <v>54</v>
      </c>
      <c r="AO302" s="33" t="s">
        <v>323</v>
      </c>
      <c r="AP302" s="15">
        <f>7565.79+7565.79+11500+7565.79+7565.79</f>
        <v>41763.160000000003</v>
      </c>
      <c r="AQ302" s="15">
        <v>11600.88</v>
      </c>
      <c r="AR302" s="15">
        <v>0</v>
      </c>
      <c r="AS302" s="15">
        <f>7565.79+7565.79</f>
        <v>15131.58</v>
      </c>
      <c r="AT302" s="15">
        <v>7565.79</v>
      </c>
      <c r="AU302" s="15">
        <v>0</v>
      </c>
      <c r="AV302" s="15">
        <v>7565.79</v>
      </c>
      <c r="AW302" s="108">
        <f>7565.79*2</f>
        <v>15131.58</v>
      </c>
      <c r="AX302" s="15">
        <v>7565.79</v>
      </c>
      <c r="AY302" s="15">
        <v>0</v>
      </c>
      <c r="AZ302" s="15">
        <v>0</v>
      </c>
      <c r="BA302" s="15">
        <v>0</v>
      </c>
      <c r="BB302" s="125">
        <f>SUM(AP302:BA302)</f>
        <v>106324.56999999998</v>
      </c>
      <c r="BC302" s="15">
        <v>7565.79</v>
      </c>
      <c r="BD302" s="15">
        <v>0</v>
      </c>
      <c r="BE302" s="15">
        <v>0</v>
      </c>
      <c r="BF302" s="15">
        <f>7565.79*3</f>
        <v>22697.37</v>
      </c>
      <c r="BG302" s="15">
        <v>0</v>
      </c>
      <c r="BH302" s="15">
        <v>0</v>
      </c>
      <c r="BI302" s="15">
        <f>7565.79*3</f>
        <v>22697.37</v>
      </c>
      <c r="BJ302" s="15">
        <f>7565.79*2</f>
        <v>15131.58</v>
      </c>
      <c r="BK302" s="15">
        <v>0</v>
      </c>
      <c r="BL302" s="15">
        <v>7565.79</v>
      </c>
      <c r="BM302" s="15">
        <v>0</v>
      </c>
      <c r="BN302" s="15">
        <f>7565.79*2</f>
        <v>15131.58</v>
      </c>
      <c r="BO302" s="125">
        <f>SUM(BC302:BN302)</f>
        <v>90789.48</v>
      </c>
      <c r="BP302" s="15">
        <v>7565.79</v>
      </c>
      <c r="BQ302" s="15">
        <v>7565.79</v>
      </c>
      <c r="BR302" s="15">
        <v>7565.79</v>
      </c>
      <c r="BS302" s="15">
        <v>7565.79</v>
      </c>
      <c r="BT302" s="15">
        <v>7565.79</v>
      </c>
      <c r="BU302" s="15">
        <v>7656.79</v>
      </c>
      <c r="BV302" s="15">
        <v>7565.78</v>
      </c>
      <c r="BW302" s="15">
        <v>7565.79</v>
      </c>
      <c r="BX302" s="15">
        <v>7565.79</v>
      </c>
      <c r="BY302" s="15">
        <v>7565.79</v>
      </c>
      <c r="BZ302" s="15">
        <v>7565.79</v>
      </c>
      <c r="CA302" s="15">
        <v>13800</v>
      </c>
      <c r="CB302" s="211">
        <f t="shared" si="121"/>
        <v>97114.679999999978</v>
      </c>
      <c r="CC302" s="241">
        <v>7565.79</v>
      </c>
      <c r="CD302" s="42">
        <v>7565.79</v>
      </c>
      <c r="CE302" s="283"/>
      <c r="CF302" s="42">
        <f>7565.79*2</f>
        <v>15131.58</v>
      </c>
      <c r="CG302" s="42">
        <v>7565.79</v>
      </c>
      <c r="CH302" s="42">
        <v>7565.79</v>
      </c>
      <c r="CI302" s="42">
        <v>7565.79</v>
      </c>
      <c r="CJ302" s="42">
        <v>7565.79</v>
      </c>
      <c r="CK302" s="42">
        <v>7565.79</v>
      </c>
      <c r="CL302" s="42">
        <v>7565.79</v>
      </c>
      <c r="CM302" s="42">
        <v>7565.79</v>
      </c>
      <c r="CN302" s="42">
        <v>7565.79</v>
      </c>
      <c r="CO302" s="365">
        <f t="shared" si="122"/>
        <v>90789.479999999981</v>
      </c>
      <c r="CP302" s="1"/>
      <c r="CQ302" s="1"/>
      <c r="CR302" s="1"/>
      <c r="CS302" s="1"/>
      <c r="CT302" s="1"/>
      <c r="CU302" s="1"/>
      <c r="CV302" s="1"/>
      <c r="CW302" s="1"/>
      <c r="CX302" s="1"/>
      <c r="CY302" s="1"/>
      <c r="CZ302" s="1"/>
      <c r="DA302" s="1"/>
      <c r="DB302" s="366">
        <f t="shared" si="123"/>
        <v>0</v>
      </c>
      <c r="DC302" s="1"/>
      <c r="DD302" s="1"/>
      <c r="DE302" s="1"/>
      <c r="DF302" s="1"/>
      <c r="DG302" s="1"/>
      <c r="DH302" s="1"/>
      <c r="DI302" s="1"/>
      <c r="DJ302" s="1"/>
      <c r="DK302" s="1"/>
      <c r="DL302" s="1"/>
      <c r="DM302" s="1"/>
      <c r="DN302" s="1"/>
      <c r="DO302" s="1">
        <f t="shared" si="90"/>
        <v>0</v>
      </c>
    </row>
    <row r="303" spans="1:119" s="19" customFormat="1" ht="27" customHeight="1" thickBot="1" x14ac:dyDescent="0.25">
      <c r="A303" s="4" t="s">
        <v>385</v>
      </c>
      <c r="B303" s="33" t="s">
        <v>107</v>
      </c>
      <c r="C303" s="1" t="s">
        <v>386</v>
      </c>
      <c r="D303" s="1" t="s">
        <v>387</v>
      </c>
      <c r="E303" s="1" t="s">
        <v>388</v>
      </c>
      <c r="F303" s="1" t="s">
        <v>49</v>
      </c>
      <c r="G303" s="33" t="s">
        <v>328</v>
      </c>
      <c r="H303" s="33" t="s">
        <v>389</v>
      </c>
      <c r="I303" s="58">
        <v>43811</v>
      </c>
      <c r="J303" s="58">
        <v>44907</v>
      </c>
      <c r="K303" s="198">
        <v>575872.56000000006</v>
      </c>
      <c r="L303" s="135"/>
      <c r="M303" s="136">
        <f t="shared" si="106"/>
        <v>0</v>
      </c>
      <c r="N303" s="136">
        <f t="shared" si="107"/>
        <v>0</v>
      </c>
      <c r="O303" s="137">
        <f t="shared" si="125"/>
        <v>575872.56000000006</v>
      </c>
      <c r="P303" s="135">
        <f t="shared" si="108"/>
        <v>0</v>
      </c>
      <c r="Q303" s="136">
        <f t="shared" si="109"/>
        <v>165449.03000000003</v>
      </c>
      <c r="R303" s="136">
        <f t="shared" si="110"/>
        <v>165449.03000000003</v>
      </c>
      <c r="S303" s="137">
        <f t="shared" si="126"/>
        <v>410423.53</v>
      </c>
      <c r="T303" s="135">
        <f t="shared" si="111"/>
        <v>165449.03000000003</v>
      </c>
      <c r="U303" s="136">
        <f t="shared" si="112"/>
        <v>0</v>
      </c>
      <c r="V303" s="136">
        <f t="shared" si="113"/>
        <v>165449.03000000003</v>
      </c>
      <c r="W303" s="207">
        <f t="shared" si="127"/>
        <v>410423.53</v>
      </c>
      <c r="X303" s="135">
        <f t="shared" si="114"/>
        <v>165449.03000000003</v>
      </c>
      <c r="Y303" s="136">
        <f t="shared" si="115"/>
        <v>185921.11999999994</v>
      </c>
      <c r="Z303" s="136">
        <f t="shared" si="116"/>
        <v>351370.14999999997</v>
      </c>
      <c r="AA303" s="137">
        <f t="shared" si="128"/>
        <v>224502.41000000009</v>
      </c>
      <c r="AB303" s="362">
        <f t="shared" si="117"/>
        <v>351370.14999999997</v>
      </c>
      <c r="AC303" s="362">
        <f t="shared" si="118"/>
        <v>0</v>
      </c>
      <c r="AD303" s="362">
        <f t="shared" si="119"/>
        <v>351370.14999999997</v>
      </c>
      <c r="AE303" s="362">
        <f>K303-Z303</f>
        <v>224502.41000000009</v>
      </c>
      <c r="AF303" s="171">
        <v>0</v>
      </c>
      <c r="AG303" s="46">
        <v>36</v>
      </c>
      <c r="AH303" s="46" t="s">
        <v>1304</v>
      </c>
      <c r="AI303" s="46"/>
      <c r="AJ303" s="46">
        <v>0</v>
      </c>
      <c r="AK303" s="46" t="s">
        <v>53</v>
      </c>
      <c r="AL303" s="46" t="s">
        <v>53</v>
      </c>
      <c r="AM303" s="46" t="s">
        <v>53</v>
      </c>
      <c r="AN303" s="46" t="s">
        <v>54</v>
      </c>
      <c r="AO303" s="33" t="s">
        <v>70</v>
      </c>
      <c r="AP303" s="15"/>
      <c r="AQ303" s="15"/>
      <c r="AR303" s="15"/>
      <c r="AS303" s="15"/>
      <c r="AT303" s="15"/>
      <c r="AU303" s="15"/>
      <c r="AV303" s="15"/>
      <c r="AW303" s="108"/>
      <c r="AX303" s="15"/>
      <c r="AY303" s="15"/>
      <c r="AZ303" s="15"/>
      <c r="BA303" s="15"/>
      <c r="BB303" s="125">
        <f>SUM(AP303:BA303)</f>
        <v>0</v>
      </c>
      <c r="BC303" s="15">
        <v>13338.14</v>
      </c>
      <c r="BD303" s="15">
        <v>13280.09</v>
      </c>
      <c r="BE303" s="15">
        <v>13280.09</v>
      </c>
      <c r="BF303" s="15">
        <v>13280.09</v>
      </c>
      <c r="BG303" s="15">
        <v>12971.84</v>
      </c>
      <c r="BH303" s="15">
        <v>14185.54</v>
      </c>
      <c r="BI303" s="15">
        <v>14185.54</v>
      </c>
      <c r="BJ303" s="15">
        <v>0</v>
      </c>
      <c r="BK303" s="15">
        <f>14185.54*2</f>
        <v>28371.08</v>
      </c>
      <c r="BL303" s="15">
        <v>14185.54</v>
      </c>
      <c r="BM303" s="15">
        <v>14185.54</v>
      </c>
      <c r="BN303" s="15">
        <v>14185.54</v>
      </c>
      <c r="BO303" s="125">
        <f>SUM(BC303:BN303)</f>
        <v>165449.03000000003</v>
      </c>
      <c r="BP303" s="15"/>
      <c r="BQ303" s="15"/>
      <c r="BR303" s="15"/>
      <c r="BS303" s="15"/>
      <c r="BT303" s="15"/>
      <c r="BU303" s="15"/>
      <c r="BV303" s="15"/>
      <c r="BW303" s="15"/>
      <c r="BX303" s="15"/>
      <c r="BY303" s="15"/>
      <c r="BZ303" s="15"/>
      <c r="CA303" s="15"/>
      <c r="CB303" s="211">
        <f t="shared" si="121"/>
        <v>0</v>
      </c>
      <c r="CC303" s="241">
        <v>0</v>
      </c>
      <c r="CD303" s="42">
        <v>16901.919999999998</v>
      </c>
      <c r="CE303" s="42">
        <v>16901.919999999998</v>
      </c>
      <c r="CF303" s="42">
        <v>16901.919999999998</v>
      </c>
      <c r="CG303" s="42">
        <v>16901.919999999998</v>
      </c>
      <c r="CH303" s="42">
        <v>16901.919999999998</v>
      </c>
      <c r="CI303" s="42">
        <v>16901.919999999998</v>
      </c>
      <c r="CJ303" s="42">
        <v>16901.919999999998</v>
      </c>
      <c r="CK303" s="42">
        <v>16901.919999999998</v>
      </c>
      <c r="CL303" s="42">
        <v>16901.919999999998</v>
      </c>
      <c r="CM303" s="42">
        <v>16901.919999999998</v>
      </c>
      <c r="CN303" s="42">
        <v>16901.919999999998</v>
      </c>
      <c r="CO303" s="365">
        <f t="shared" si="122"/>
        <v>185921.11999999994</v>
      </c>
      <c r="CP303" s="1"/>
      <c r="CQ303" s="1"/>
      <c r="CR303" s="1"/>
      <c r="CS303" s="1"/>
      <c r="CT303" s="1"/>
      <c r="CU303" s="1"/>
      <c r="CV303" s="1"/>
      <c r="CW303" s="1"/>
      <c r="CX303" s="1"/>
      <c r="CY303" s="1"/>
      <c r="CZ303" s="1"/>
      <c r="DA303" s="1"/>
      <c r="DB303" s="366">
        <f t="shared" si="123"/>
        <v>0</v>
      </c>
      <c r="DC303" s="1"/>
      <c r="DD303" s="1"/>
      <c r="DE303" s="1"/>
      <c r="DF303" s="1"/>
      <c r="DG303" s="1"/>
      <c r="DH303" s="1"/>
      <c r="DI303" s="1"/>
      <c r="DJ303" s="1"/>
      <c r="DK303" s="1"/>
      <c r="DL303" s="1"/>
      <c r="DM303" s="1"/>
      <c r="DN303" s="1"/>
      <c r="DO303" s="1">
        <f t="shared" si="90"/>
        <v>0</v>
      </c>
    </row>
    <row r="304" spans="1:119" s="19" customFormat="1" ht="37.5" customHeight="1" thickBot="1" x14ac:dyDescent="0.3">
      <c r="A304" s="3" t="s">
        <v>413</v>
      </c>
      <c r="B304" s="474" t="s">
        <v>107</v>
      </c>
      <c r="C304" s="17" t="s">
        <v>414</v>
      </c>
      <c r="D304" s="17" t="s">
        <v>415</v>
      </c>
      <c r="E304" s="17" t="s">
        <v>416</v>
      </c>
      <c r="F304" s="17" t="s">
        <v>49</v>
      </c>
      <c r="G304" s="474" t="s">
        <v>328</v>
      </c>
      <c r="H304" s="474" t="s">
        <v>316</v>
      </c>
      <c r="I304" s="493">
        <v>44151</v>
      </c>
      <c r="J304" s="493">
        <v>45236</v>
      </c>
      <c r="K304" s="487">
        <v>28930</v>
      </c>
      <c r="L304" s="482"/>
      <c r="M304" s="483">
        <f t="shared" si="106"/>
        <v>0</v>
      </c>
      <c r="N304" s="483">
        <f t="shared" si="107"/>
        <v>0</v>
      </c>
      <c r="O304" s="484">
        <f t="shared" si="125"/>
        <v>28930</v>
      </c>
      <c r="P304" s="482">
        <f t="shared" si="108"/>
        <v>0</v>
      </c>
      <c r="Q304" s="483">
        <f t="shared" si="109"/>
        <v>3411.1600000000003</v>
      </c>
      <c r="R304" s="483">
        <f t="shared" si="110"/>
        <v>3411.1600000000003</v>
      </c>
      <c r="S304" s="484">
        <f t="shared" si="126"/>
        <v>25518.84</v>
      </c>
      <c r="T304" s="482">
        <f t="shared" si="111"/>
        <v>3411.1600000000003</v>
      </c>
      <c r="U304" s="483">
        <f t="shared" si="112"/>
        <v>0</v>
      </c>
      <c r="V304" s="483">
        <f t="shared" si="113"/>
        <v>3411.1600000000003</v>
      </c>
      <c r="W304" s="488">
        <f t="shared" si="127"/>
        <v>25518.84</v>
      </c>
      <c r="X304" s="482">
        <f t="shared" si="114"/>
        <v>3411.1600000000003</v>
      </c>
      <c r="Y304" s="483">
        <f t="shared" si="115"/>
        <v>14975.769999999999</v>
      </c>
      <c r="Z304" s="483">
        <f t="shared" si="116"/>
        <v>18386.93</v>
      </c>
      <c r="AA304" s="484">
        <f t="shared" si="128"/>
        <v>10543.07</v>
      </c>
      <c r="AB304" s="476">
        <f t="shared" si="117"/>
        <v>18386.93</v>
      </c>
      <c r="AC304" s="476">
        <f t="shared" si="118"/>
        <v>11983.220000000001</v>
      </c>
      <c r="AD304" s="476">
        <f t="shared" si="119"/>
        <v>30370.15</v>
      </c>
      <c r="AE304" s="476">
        <f>K304-Z304</f>
        <v>10543.07</v>
      </c>
      <c r="AF304" s="489">
        <v>0</v>
      </c>
      <c r="AG304" s="477">
        <v>36</v>
      </c>
      <c r="AH304" s="477" t="s">
        <v>1304</v>
      </c>
      <c r="AI304" s="477">
        <v>0</v>
      </c>
      <c r="AJ304" s="477">
        <v>0</v>
      </c>
      <c r="AK304" s="477" t="s">
        <v>53</v>
      </c>
      <c r="AL304" s="477" t="s">
        <v>53</v>
      </c>
      <c r="AM304" s="477" t="s">
        <v>53</v>
      </c>
      <c r="AN304" s="477" t="s">
        <v>54</v>
      </c>
      <c r="AO304" s="474" t="s">
        <v>70</v>
      </c>
      <c r="AP304" s="478"/>
      <c r="AQ304" s="478"/>
      <c r="AR304" s="478"/>
      <c r="AS304" s="478"/>
      <c r="AT304" s="478"/>
      <c r="AU304" s="478"/>
      <c r="AV304" s="478"/>
      <c r="AW304" s="490"/>
      <c r="AX304" s="478"/>
      <c r="AY304" s="478"/>
      <c r="AZ304" s="478"/>
      <c r="BA304" s="478"/>
      <c r="BB304" s="479">
        <f>SUM(AP304:BA304)</f>
        <v>0</v>
      </c>
      <c r="BC304" s="478">
        <v>301.62</v>
      </c>
      <c r="BD304" s="478">
        <v>301.62</v>
      </c>
      <c r="BE304" s="478">
        <v>301.62</v>
      </c>
      <c r="BF304" s="478"/>
      <c r="BG304" s="478">
        <v>301.62</v>
      </c>
      <c r="BH304" s="478">
        <f>7.8+(301.62*2)</f>
        <v>611.04</v>
      </c>
      <c r="BI304" s="478">
        <v>0</v>
      </c>
      <c r="BJ304" s="478">
        <v>0</v>
      </c>
      <c r="BK304" s="478">
        <f>301.62*2</f>
        <v>603.24</v>
      </c>
      <c r="BL304" s="478">
        <v>0</v>
      </c>
      <c r="BM304" s="478">
        <v>312.88</v>
      </c>
      <c r="BN304" s="478">
        <f>26.02+(325.75*2)</f>
        <v>677.52</v>
      </c>
      <c r="BO304" s="479">
        <f>SUM(BC304:BN304)</f>
        <v>3411.1600000000003</v>
      </c>
      <c r="BP304" s="478"/>
      <c r="BQ304" s="478"/>
      <c r="BR304" s="478"/>
      <c r="BS304" s="478"/>
      <c r="BT304" s="478"/>
      <c r="BU304" s="478"/>
      <c r="BV304" s="478"/>
      <c r="BW304" s="478"/>
      <c r="BX304" s="478"/>
      <c r="BY304" s="478"/>
      <c r="BZ304" s="478"/>
      <c r="CA304" s="478"/>
      <c r="CB304" s="485">
        <f t="shared" si="121"/>
        <v>0</v>
      </c>
      <c r="CC304" s="523">
        <f>1068.05+342</f>
        <v>1410.05</v>
      </c>
      <c r="CD304" s="282">
        <f>1068.05+342.05+53.76</f>
        <v>1463.86</v>
      </c>
      <c r="CE304" s="282"/>
      <c r="CF304" s="524">
        <f>342.03+1068.06</f>
        <v>1410.09</v>
      </c>
      <c r="CG304" s="282">
        <v>1068.05</v>
      </c>
      <c r="CH304" s="524">
        <f>342.03+49.36+234.24</f>
        <v>625.63</v>
      </c>
      <c r="CI304" s="282">
        <f>1068.06+342</f>
        <v>1410.06</v>
      </c>
      <c r="CJ304" s="282">
        <f>1068.06+192.26+347.25+ 227.6</f>
        <v>1835.1699999999998</v>
      </c>
      <c r="CK304" s="282">
        <f>1082.8+349.18</f>
        <v>1431.98</v>
      </c>
      <c r="CL304" s="282">
        <f>1119.4+90.82+1084.64</f>
        <v>2294.86</v>
      </c>
      <c r="CM304" s="282">
        <f>56.99+117.22+353.81+1102.85</f>
        <v>1630.87</v>
      </c>
      <c r="CN304" s="282">
        <v>395.15</v>
      </c>
      <c r="CO304" s="492">
        <f t="shared" si="122"/>
        <v>14975.769999999999</v>
      </c>
      <c r="CP304" s="17">
        <v>206.13</v>
      </c>
      <c r="CQ304" s="17">
        <f>1135.96+409.98</f>
        <v>1545.94</v>
      </c>
      <c r="CR304" s="17">
        <f>364.45+359.15+1119.39+1119.4+359.15+441.51</f>
        <v>3763.05</v>
      </c>
      <c r="CS304" s="17">
        <v>269.39</v>
      </c>
      <c r="CT304" s="17">
        <f>1136.51+364.63+129.95</f>
        <v>1631.09</v>
      </c>
      <c r="CU304" s="17">
        <f>358.75+1118.3</f>
        <v>1477.05</v>
      </c>
      <c r="CV304" s="17">
        <f>1119.36+50.15+359.15+83.4</f>
        <v>1612.06</v>
      </c>
      <c r="CW304" s="17">
        <f>359.15+1119.36</f>
        <v>1478.5099999999998</v>
      </c>
      <c r="CX304" s="17"/>
      <c r="CY304" s="17"/>
      <c r="CZ304" s="17"/>
      <c r="DA304" s="17"/>
      <c r="DB304" s="480">
        <f t="shared" si="123"/>
        <v>11983.220000000001</v>
      </c>
      <c r="DC304" s="17"/>
      <c r="DD304" s="514">
        <v>206.126</v>
      </c>
      <c r="DE304" s="514">
        <v>441.50799999999998</v>
      </c>
      <c r="DF304" s="514">
        <v>269.38749999999999</v>
      </c>
      <c r="DG304" s="514">
        <v>129.94999999999999</v>
      </c>
      <c r="DH304" s="514">
        <v>83.397999999999996</v>
      </c>
      <c r="DI304" s="514">
        <v>50.151499999999999</v>
      </c>
      <c r="DJ304" s="514">
        <v>20.515999999999998</v>
      </c>
      <c r="DK304" s="514">
        <v>256.66849999999999</v>
      </c>
      <c r="DL304" s="17"/>
      <c r="DM304" s="17"/>
      <c r="DN304" s="17"/>
      <c r="DO304" s="17">
        <f t="shared" si="90"/>
        <v>1457.7055</v>
      </c>
    </row>
    <row r="305" spans="1:119" s="19" customFormat="1" ht="21.75" customHeight="1" thickBot="1" x14ac:dyDescent="0.3">
      <c r="A305" s="3" t="s">
        <v>417</v>
      </c>
      <c r="B305" s="474" t="s">
        <v>107</v>
      </c>
      <c r="C305" s="17" t="s">
        <v>418</v>
      </c>
      <c r="D305" s="17" t="s">
        <v>419</v>
      </c>
      <c r="E305" s="17" t="s">
        <v>420</v>
      </c>
      <c r="F305" s="17" t="s">
        <v>49</v>
      </c>
      <c r="G305" s="474" t="s">
        <v>328</v>
      </c>
      <c r="H305" s="474" t="s">
        <v>316</v>
      </c>
      <c r="I305" s="493">
        <v>44158</v>
      </c>
      <c r="J305" s="493">
        <v>45253</v>
      </c>
      <c r="K305" s="487">
        <v>589671</v>
      </c>
      <c r="L305" s="482"/>
      <c r="M305" s="483">
        <f t="shared" si="106"/>
        <v>0</v>
      </c>
      <c r="N305" s="483">
        <f t="shared" si="107"/>
        <v>0</v>
      </c>
      <c r="O305" s="484">
        <f t="shared" si="125"/>
        <v>589671</v>
      </c>
      <c r="P305" s="482">
        <f t="shared" si="108"/>
        <v>0</v>
      </c>
      <c r="Q305" s="483">
        <f t="shared" si="109"/>
        <v>2107814.2600000002</v>
      </c>
      <c r="R305" s="483">
        <f t="shared" si="110"/>
        <v>2107814.2600000002</v>
      </c>
      <c r="S305" s="484">
        <f t="shared" si="126"/>
        <v>-1518143.2600000002</v>
      </c>
      <c r="T305" s="482">
        <f t="shared" si="111"/>
        <v>2107814.2600000002</v>
      </c>
      <c r="U305" s="483">
        <f t="shared" si="112"/>
        <v>0</v>
      </c>
      <c r="V305" s="483">
        <f t="shared" si="113"/>
        <v>2107814.2600000002</v>
      </c>
      <c r="W305" s="488">
        <f t="shared" si="127"/>
        <v>-1518143.2600000002</v>
      </c>
      <c r="X305" s="482">
        <f t="shared" si="114"/>
        <v>2107814.2600000002</v>
      </c>
      <c r="Y305" s="483">
        <f t="shared" si="115"/>
        <v>1784353.73</v>
      </c>
      <c r="Z305" s="483">
        <f t="shared" si="116"/>
        <v>3892167.99</v>
      </c>
      <c r="AA305" s="484">
        <f t="shared" si="128"/>
        <v>-3302496.99</v>
      </c>
      <c r="AB305" s="476">
        <f t="shared" si="117"/>
        <v>3892167.99</v>
      </c>
      <c r="AC305" s="476">
        <f t="shared" si="118"/>
        <v>636976.14</v>
      </c>
      <c r="AD305" s="476">
        <f t="shared" si="119"/>
        <v>4529144.13</v>
      </c>
      <c r="AE305" s="476">
        <f>K305-Z305</f>
        <v>-3302496.99</v>
      </c>
      <c r="AF305" s="489">
        <v>0</v>
      </c>
      <c r="AG305" s="477">
        <v>36</v>
      </c>
      <c r="AH305" s="477" t="s">
        <v>1304</v>
      </c>
      <c r="AI305" s="477">
        <v>0</v>
      </c>
      <c r="AJ305" s="477">
        <v>0</v>
      </c>
      <c r="AK305" s="477" t="s">
        <v>53</v>
      </c>
      <c r="AL305" s="477" t="s">
        <v>53</v>
      </c>
      <c r="AM305" s="477" t="s">
        <v>53</v>
      </c>
      <c r="AN305" s="477" t="s">
        <v>54</v>
      </c>
      <c r="AO305" s="474" t="s">
        <v>70</v>
      </c>
      <c r="AP305" s="478"/>
      <c r="AQ305" s="478"/>
      <c r="AR305" s="478"/>
      <c r="AS305" s="478"/>
      <c r="AT305" s="478"/>
      <c r="AU305" s="478"/>
      <c r="AV305" s="478"/>
      <c r="AW305" s="490"/>
      <c r="AX305" s="478"/>
      <c r="AY305" s="478"/>
      <c r="AZ305" s="478"/>
      <c r="BA305" s="478"/>
      <c r="BB305" s="479">
        <f>SUM(AP305:BA305)</f>
        <v>0</v>
      </c>
      <c r="BC305" s="478"/>
      <c r="BD305" s="478"/>
      <c r="BE305" s="478"/>
      <c r="BF305" s="478"/>
      <c r="BG305" s="478">
        <v>0</v>
      </c>
      <c r="BH305" s="478">
        <f>32427.61+53500</f>
        <v>85927.61</v>
      </c>
      <c r="BI305" s="478">
        <v>0</v>
      </c>
      <c r="BJ305" s="478">
        <v>0</v>
      </c>
      <c r="BK305" s="478">
        <v>63898.32</v>
      </c>
      <c r="BL305" s="478">
        <v>3266</v>
      </c>
      <c r="BM305" s="478">
        <v>10223.5</v>
      </c>
      <c r="BN305" s="478">
        <f>4899+22782.59+1265+2653.05+26243+11313.53+20067.5+96784+106398+16165.55+91043.04+38691.75+28493.18+3162.5+13800+95782.69+64170+19629.93+26815.13+37291.75+28325.37+3938.75+5306.1+2653.05+9027.5+83695.8+155187.98+16128.75+2817.5+2599+20521.75+3369.5+1305.25+8192.34+2889.38+8792.9+34099+56695+5865+13541.25+16905+81133.54+2653.05+10430.5+3430.8+57478.05+6434.25+8245.5+9861.25+4102.05+7632.55+22877.92+12253.25+12851.25+8239.75+12788+10890.5+9167.8+6929.64+64013.51+27392.01+13071.19+28232.5+2653.05+152444+60588.79+25702.5+12443+58598.22+2653.05</f>
        <v>1944498.83</v>
      </c>
      <c r="BO305" s="479">
        <f>SUM(BC305:BN305)</f>
        <v>2107814.2600000002</v>
      </c>
      <c r="BP305" s="478"/>
      <c r="BQ305" s="478"/>
      <c r="BR305" s="478"/>
      <c r="BS305" s="478"/>
      <c r="BT305" s="478"/>
      <c r="BU305" s="478"/>
      <c r="BV305" s="478"/>
      <c r="BW305" s="478"/>
      <c r="BX305" s="478"/>
      <c r="BY305" s="478"/>
      <c r="BZ305" s="478"/>
      <c r="CA305" s="478"/>
      <c r="CB305" s="485">
        <f t="shared" si="121"/>
        <v>0</v>
      </c>
      <c r="CC305" s="491">
        <f>94679.87+30906.25+4324.07+10430.5+2156.25</f>
        <v>142496.94</v>
      </c>
      <c r="CD305" s="282"/>
      <c r="CE305" s="282">
        <f>96732.25+68053.33</f>
        <v>164785.58000000002</v>
      </c>
      <c r="CF305" s="282">
        <v>309728.21999999997</v>
      </c>
      <c r="CG305" s="282">
        <v>393289.24</v>
      </c>
      <c r="CH305" s="282">
        <v>140698.14000000001</v>
      </c>
      <c r="CI305" s="282">
        <v>89530.86</v>
      </c>
      <c r="CJ305" s="282">
        <v>160436.9</v>
      </c>
      <c r="CK305" s="282"/>
      <c r="CL305" s="282"/>
      <c r="CM305" s="282">
        <v>72165.490000000005</v>
      </c>
      <c r="CN305" s="282">
        <f>260077.04+51145.32</f>
        <v>311222.36</v>
      </c>
      <c r="CO305" s="492">
        <f t="shared" si="122"/>
        <v>1784353.73</v>
      </c>
      <c r="CP305" s="17">
        <f>29831+29831+3087.75</f>
        <v>62749.75</v>
      </c>
      <c r="CQ305" s="17">
        <f>5071.5+7601.5</f>
        <v>12673</v>
      </c>
      <c r="CR305" s="17">
        <v>112420</v>
      </c>
      <c r="CS305" s="17">
        <f>4990.2+7311.2</f>
        <v>12301.4</v>
      </c>
      <c r="CT305" s="17">
        <f>2103.24+13275.6+5262.4+121612.5+177916.5+81477.5+13512.5</f>
        <v>415160.24</v>
      </c>
      <c r="CU305" s="17">
        <f>4102.05+17569.7</f>
        <v>21671.75</v>
      </c>
      <c r="CV305" s="17"/>
      <c r="CW305" s="17"/>
      <c r="CX305" s="17"/>
      <c r="CY305" s="17"/>
      <c r="CZ305" s="17"/>
      <c r="DA305" s="17"/>
      <c r="DB305" s="480">
        <f t="shared" si="123"/>
        <v>636976.14</v>
      </c>
      <c r="DC305" s="17"/>
      <c r="DD305" s="17">
        <f>29831+29831+3087.75+7601.5+5071.5</f>
        <v>75422.75</v>
      </c>
      <c r="DE305" s="514">
        <f>112420.32+4990.195+1845.75</f>
        <v>119256.26500000001</v>
      </c>
      <c r="DF305" s="514">
        <f>13512.5+177916.5+81477.5+121612.5+5262.4</f>
        <v>399781.4</v>
      </c>
      <c r="DG305" s="514">
        <f>2103.235+4102.05+17569.7</f>
        <v>23774.985000000001</v>
      </c>
      <c r="DH305" s="17"/>
      <c r="DI305" s="17"/>
      <c r="DJ305" s="17"/>
      <c r="DK305" s="17"/>
      <c r="DL305" s="514">
        <f>5043.9+13850.6+16519.52+26024.5+14735.3985</f>
        <v>76173.9185</v>
      </c>
      <c r="DM305" s="514">
        <v>20578.099999999999</v>
      </c>
      <c r="DN305" s="17"/>
      <c r="DO305" s="17">
        <f t="shared" si="90"/>
        <v>714987.41850000003</v>
      </c>
    </row>
    <row r="306" spans="1:119" s="19" customFormat="1" ht="24" customHeight="1" x14ac:dyDescent="0.2">
      <c r="A306" s="3" t="s">
        <v>424</v>
      </c>
      <c r="B306" s="474" t="s">
        <v>107</v>
      </c>
      <c r="C306" s="17" t="s">
        <v>425</v>
      </c>
      <c r="D306" s="17" t="s">
        <v>426</v>
      </c>
      <c r="E306" s="17" t="s">
        <v>427</v>
      </c>
      <c r="F306" s="17" t="s">
        <v>49</v>
      </c>
      <c r="G306" s="474" t="s">
        <v>354</v>
      </c>
      <c r="H306" s="474" t="s">
        <v>316</v>
      </c>
      <c r="I306" s="493">
        <v>44161</v>
      </c>
      <c r="J306" s="493">
        <v>45256</v>
      </c>
      <c r="K306" s="487">
        <v>599887.97</v>
      </c>
      <c r="L306" s="482"/>
      <c r="M306" s="483">
        <f t="shared" si="106"/>
        <v>0</v>
      </c>
      <c r="N306" s="483">
        <f t="shared" si="107"/>
        <v>0</v>
      </c>
      <c r="O306" s="484">
        <f t="shared" si="125"/>
        <v>599887.97</v>
      </c>
      <c r="P306" s="482">
        <f t="shared" si="108"/>
        <v>0</v>
      </c>
      <c r="Q306" s="483">
        <f t="shared" si="109"/>
        <v>156191.72</v>
      </c>
      <c r="R306" s="483">
        <f t="shared" si="110"/>
        <v>156191.72</v>
      </c>
      <c r="S306" s="484">
        <f t="shared" si="126"/>
        <v>443696.25</v>
      </c>
      <c r="T306" s="482">
        <f t="shared" si="111"/>
        <v>156191.72</v>
      </c>
      <c r="U306" s="483">
        <f t="shared" si="112"/>
        <v>0</v>
      </c>
      <c r="V306" s="483">
        <f t="shared" si="113"/>
        <v>156191.72</v>
      </c>
      <c r="W306" s="488">
        <f t="shared" si="127"/>
        <v>443696.25</v>
      </c>
      <c r="X306" s="482">
        <f t="shared" si="114"/>
        <v>156191.72</v>
      </c>
      <c r="Y306" s="483">
        <f t="shared" si="115"/>
        <v>179499.91999999998</v>
      </c>
      <c r="Z306" s="483">
        <f t="shared" si="116"/>
        <v>335691.64</v>
      </c>
      <c r="AA306" s="484">
        <f t="shared" si="128"/>
        <v>264196.32999999996</v>
      </c>
      <c r="AB306" s="476">
        <f t="shared" si="117"/>
        <v>335691.64</v>
      </c>
      <c r="AC306" s="476">
        <f t="shared" si="118"/>
        <v>0</v>
      </c>
      <c r="AD306" s="476">
        <f t="shared" si="119"/>
        <v>335691.64</v>
      </c>
      <c r="AE306" s="476">
        <f>K306-Z306</f>
        <v>264196.32999999996</v>
      </c>
      <c r="AF306" s="489">
        <v>0</v>
      </c>
      <c r="AG306" s="477">
        <v>36</v>
      </c>
      <c r="AH306" s="477" t="s">
        <v>1304</v>
      </c>
      <c r="AI306" s="477">
        <v>0</v>
      </c>
      <c r="AJ306" s="477">
        <v>0</v>
      </c>
      <c r="AK306" s="477" t="s">
        <v>53</v>
      </c>
      <c r="AL306" s="477" t="s">
        <v>53</v>
      </c>
      <c r="AM306" s="477" t="s">
        <v>53</v>
      </c>
      <c r="AN306" s="477" t="s">
        <v>54</v>
      </c>
      <c r="AO306" s="474" t="s">
        <v>70</v>
      </c>
      <c r="AP306" s="478"/>
      <c r="AQ306" s="478"/>
      <c r="AR306" s="478"/>
      <c r="AS306" s="478"/>
      <c r="AT306" s="478"/>
      <c r="AU306" s="478"/>
      <c r="AV306" s="478"/>
      <c r="AW306" s="490"/>
      <c r="AX306" s="478"/>
      <c r="AY306" s="478"/>
      <c r="AZ306" s="478"/>
      <c r="BA306" s="478"/>
      <c r="BB306" s="479">
        <f>SUM(AP306:BA306)</f>
        <v>0</v>
      </c>
      <c r="BC306" s="478"/>
      <c r="BD306" s="478"/>
      <c r="BE306" s="478"/>
      <c r="BF306" s="478"/>
      <c r="BG306" s="478">
        <v>0</v>
      </c>
      <c r="BH306" s="478">
        <v>0</v>
      </c>
      <c r="BI306" s="478">
        <v>0</v>
      </c>
      <c r="BJ306" s="478">
        <v>0</v>
      </c>
      <c r="BK306" s="478">
        <v>0</v>
      </c>
      <c r="BL306" s="478">
        <v>0</v>
      </c>
      <c r="BM306" s="478">
        <v>0</v>
      </c>
      <c r="BN306" s="478">
        <v>156191.72</v>
      </c>
      <c r="BO306" s="479">
        <f>SUM(BC306:BN306)</f>
        <v>156191.72</v>
      </c>
      <c r="BP306" s="478"/>
      <c r="BQ306" s="478"/>
      <c r="BR306" s="478"/>
      <c r="BS306" s="478"/>
      <c r="BT306" s="478"/>
      <c r="BU306" s="478"/>
      <c r="BV306" s="478"/>
      <c r="BW306" s="478"/>
      <c r="BX306" s="478"/>
      <c r="BY306" s="478"/>
      <c r="BZ306" s="478"/>
      <c r="CA306" s="478"/>
      <c r="CB306" s="485">
        <f t="shared" si="121"/>
        <v>0</v>
      </c>
      <c r="CC306" s="491">
        <v>0</v>
      </c>
      <c r="CD306" s="282"/>
      <c r="CE306" s="282">
        <v>50045.45</v>
      </c>
      <c r="CF306" s="282"/>
      <c r="CG306" s="282"/>
      <c r="CH306" s="282"/>
      <c r="CI306" s="282"/>
      <c r="CJ306" s="282"/>
      <c r="CK306" s="282"/>
      <c r="CL306" s="282">
        <v>129454.47</v>
      </c>
      <c r="CM306" s="282"/>
      <c r="CN306" s="282"/>
      <c r="CO306" s="492">
        <f t="shared" si="122"/>
        <v>179499.91999999998</v>
      </c>
      <c r="CP306" s="17"/>
      <c r="CQ306" s="17"/>
      <c r="CR306" s="17"/>
      <c r="CS306" s="17"/>
      <c r="CT306" s="17"/>
      <c r="CU306" s="17"/>
      <c r="CV306" s="17"/>
      <c r="CW306" s="17"/>
      <c r="CX306" s="17"/>
      <c r="CY306" s="17"/>
      <c r="CZ306" s="17"/>
      <c r="DA306" s="17"/>
      <c r="DB306" s="480">
        <f t="shared" si="123"/>
        <v>0</v>
      </c>
      <c r="DC306" s="17"/>
      <c r="DD306" s="17"/>
      <c r="DE306" s="17">
        <v>8298.6875</v>
      </c>
      <c r="DF306" s="17"/>
      <c r="DG306" s="17"/>
      <c r="DH306" s="17"/>
      <c r="DI306" s="17"/>
      <c r="DJ306" s="17"/>
      <c r="DK306" s="17"/>
      <c r="DL306" s="17"/>
      <c r="DM306" s="17"/>
      <c r="DN306" s="17">
        <v>29756.25</v>
      </c>
      <c r="DO306" s="17">
        <f t="shared" si="90"/>
        <v>38054.9375</v>
      </c>
    </row>
    <row r="307" spans="1:119" s="19" customFormat="1" ht="28.5" customHeight="1" x14ac:dyDescent="0.2">
      <c r="A307" s="4" t="s">
        <v>346</v>
      </c>
      <c r="B307" s="33" t="s">
        <v>45</v>
      </c>
      <c r="C307" s="1" t="s">
        <v>347</v>
      </c>
      <c r="D307" s="1" t="s">
        <v>348</v>
      </c>
      <c r="E307" s="1" t="s">
        <v>349</v>
      </c>
      <c r="F307" s="1" t="s">
        <v>49</v>
      </c>
      <c r="G307" s="33" t="s">
        <v>315</v>
      </c>
      <c r="H307" s="33" t="s">
        <v>51</v>
      </c>
      <c r="I307" s="58">
        <v>43609</v>
      </c>
      <c r="J307" s="58">
        <v>44705</v>
      </c>
      <c r="K307" s="185" t="s">
        <v>493</v>
      </c>
      <c r="L307" s="135"/>
      <c r="M307" s="25">
        <f t="shared" ref="M307:M314" si="129">AY307</f>
        <v>0</v>
      </c>
      <c r="N307" s="181">
        <f t="shared" ref="N307:N314" si="130">M307+L307</f>
        <v>0</v>
      </c>
      <c r="O307" s="180">
        <f t="shared" ref="O307:O314" si="131">N307</f>
        <v>0</v>
      </c>
      <c r="P307" s="25">
        <f t="shared" ref="P307:P314" si="132">BL307</f>
        <v>98500</v>
      </c>
      <c r="Q307" s="181">
        <f>O307+P307</f>
        <v>98500</v>
      </c>
      <c r="R307" s="180">
        <f t="shared" ref="R307:R314" si="133">Q307</f>
        <v>98500</v>
      </c>
      <c r="S307" s="25">
        <f t="shared" ref="S307:S314" si="134">BY307</f>
        <v>0</v>
      </c>
      <c r="T307" s="235">
        <f t="shared" ref="T307:T314" si="135">R307+S307</f>
        <v>98500</v>
      </c>
      <c r="U307" s="25">
        <f t="shared" ref="U307:U314" si="136">T307</f>
        <v>98500</v>
      </c>
      <c r="V307" s="25">
        <f t="shared" ref="V307:V314" si="137">CL307</f>
        <v>0</v>
      </c>
      <c r="W307" s="25">
        <f t="shared" ref="W307:W314" si="138">U307+V307</f>
        <v>98500</v>
      </c>
      <c r="X307" s="374" t="e">
        <f t="shared" ref="X307:X314" si="139">K307-W307</f>
        <v>#VALUE!</v>
      </c>
      <c r="Y307" s="373">
        <f t="shared" ref="Y307:Y314" si="140">W307</f>
        <v>98500</v>
      </c>
      <c r="Z307" s="373">
        <f t="shared" ref="Z307:Z314" si="141">CY307</f>
        <v>0</v>
      </c>
      <c r="AA307" s="373">
        <f t="shared" ref="AA307:AA314" si="142">Y307+Z307</f>
        <v>98500</v>
      </c>
      <c r="AB307" s="374" t="e">
        <f t="shared" ref="AB307:AB314" si="143">K307-AA307</f>
        <v>#VALUE!</v>
      </c>
      <c r="AC307" s="171">
        <v>0</v>
      </c>
      <c r="AD307" s="46">
        <v>36</v>
      </c>
      <c r="AE307" s="46" t="s">
        <v>1304</v>
      </c>
      <c r="AF307" s="46" t="s">
        <v>1421</v>
      </c>
      <c r="AG307" s="46">
        <v>0</v>
      </c>
      <c r="AH307" s="46" t="s">
        <v>53</v>
      </c>
      <c r="AI307" s="46" t="s">
        <v>53</v>
      </c>
      <c r="AJ307" s="46" t="s">
        <v>53</v>
      </c>
      <c r="AK307" s="46" t="s">
        <v>54</v>
      </c>
      <c r="AL307" s="33" t="s">
        <v>1422</v>
      </c>
      <c r="AM307" s="15"/>
      <c r="AN307" s="15"/>
      <c r="AO307" s="15"/>
      <c r="AP307" s="15"/>
      <c r="AQ307" s="15"/>
      <c r="AR307" s="15"/>
      <c r="AS307" s="15"/>
      <c r="AT307" s="108"/>
      <c r="AU307" s="15"/>
      <c r="AV307" s="15"/>
      <c r="AW307" s="15"/>
      <c r="AX307" s="15"/>
      <c r="AY307" s="125">
        <f>SUM(AM307:AX307)</f>
        <v>0</v>
      </c>
      <c r="AZ307" s="15">
        <v>0</v>
      </c>
      <c r="BA307" s="15">
        <v>0</v>
      </c>
      <c r="BB307" s="15">
        <v>0</v>
      </c>
      <c r="BC307" s="15">
        <v>0</v>
      </c>
      <c r="BD307" s="15">
        <v>0</v>
      </c>
      <c r="BE307" s="15">
        <v>0</v>
      </c>
      <c r="BF307" s="15">
        <v>0</v>
      </c>
      <c r="BG307" s="15">
        <v>0</v>
      </c>
      <c r="BH307" s="15">
        <v>0</v>
      </c>
      <c r="BI307" s="15">
        <v>49250</v>
      </c>
      <c r="BJ307" s="15">
        <v>0</v>
      </c>
      <c r="BK307" s="15">
        <v>49250</v>
      </c>
      <c r="BL307" s="125">
        <f>SUM(AZ307:BK307)</f>
        <v>98500</v>
      </c>
      <c r="BM307" s="15"/>
      <c r="BN307" s="15"/>
      <c r="BO307" s="15"/>
      <c r="BP307" s="15"/>
      <c r="BQ307" s="15"/>
      <c r="BR307" s="15"/>
      <c r="BS307" s="15"/>
      <c r="BT307" s="15"/>
      <c r="BU307" s="15"/>
      <c r="BV307" s="15"/>
      <c r="BW307" s="15"/>
      <c r="BX307" s="15"/>
      <c r="BY307" s="124">
        <f>SUM(BM307:BX307)</f>
        <v>0</v>
      </c>
      <c r="BZ307" s="42"/>
      <c r="CA307" s="42"/>
      <c r="CB307" s="42"/>
      <c r="CC307" s="42"/>
      <c r="CD307" s="25"/>
      <c r="CE307" s="25"/>
      <c r="CF307" s="25"/>
      <c r="CG307" s="25"/>
      <c r="CH307" s="25"/>
      <c r="CI307" s="25"/>
      <c r="CJ307" s="25"/>
      <c r="CK307" s="25"/>
      <c r="CL307" s="235">
        <f t="shared" ref="CL307:CL314" si="144">SUM(BZ307:CK307)</f>
        <v>0</v>
      </c>
      <c r="CM307" s="1"/>
      <c r="CN307" s="1"/>
      <c r="CO307" s="1"/>
      <c r="CP307" s="1"/>
      <c r="CQ307" s="1"/>
      <c r="CR307" s="1"/>
      <c r="CS307" s="1"/>
      <c r="CT307" s="1"/>
      <c r="CU307" s="1"/>
      <c r="CV307" s="1"/>
      <c r="CW307" s="1"/>
      <c r="CX307" s="1"/>
      <c r="CY307" s="1">
        <f t="shared" ref="CY307:CY314" si="145">SUM(CM307:CX307)</f>
        <v>0</v>
      </c>
      <c r="DC307" s="1"/>
      <c r="DD307" s="1"/>
      <c r="DE307" s="1"/>
      <c r="DF307" s="1"/>
      <c r="DG307" s="1"/>
      <c r="DH307" s="1"/>
      <c r="DI307" s="1"/>
      <c r="DJ307" s="1"/>
      <c r="DK307" s="1"/>
      <c r="DL307" s="1"/>
      <c r="DM307" s="1"/>
      <c r="DN307" s="1"/>
      <c r="DO307" s="1">
        <f t="shared" si="90"/>
        <v>0</v>
      </c>
    </row>
    <row r="308" spans="1:119" s="19" customFormat="1" ht="61.5" customHeight="1" x14ac:dyDescent="0.2">
      <c r="A308" s="4" t="s">
        <v>398</v>
      </c>
      <c r="B308" s="33" t="s">
        <v>107</v>
      </c>
      <c r="C308" s="1" t="s">
        <v>399</v>
      </c>
      <c r="D308" s="1" t="s">
        <v>400</v>
      </c>
      <c r="E308" s="1" t="s">
        <v>401</v>
      </c>
      <c r="F308" s="1" t="s">
        <v>49</v>
      </c>
      <c r="G308" s="33" t="s">
        <v>328</v>
      </c>
      <c r="H308" s="33" t="s">
        <v>51</v>
      </c>
      <c r="I308" s="58">
        <v>43956</v>
      </c>
      <c r="J308" s="58">
        <v>44686</v>
      </c>
      <c r="K308" s="185" t="s">
        <v>493</v>
      </c>
      <c r="L308" s="135"/>
      <c r="M308" s="25">
        <f t="shared" si="129"/>
        <v>0</v>
      </c>
      <c r="N308" s="181">
        <f t="shared" si="130"/>
        <v>0</v>
      </c>
      <c r="O308" s="180">
        <f t="shared" si="131"/>
        <v>0</v>
      </c>
      <c r="P308" s="25">
        <f t="shared" si="132"/>
        <v>6247202.5</v>
      </c>
      <c r="Q308" s="181">
        <f>O308+P308</f>
        <v>6247202.5</v>
      </c>
      <c r="R308" s="180">
        <f t="shared" si="133"/>
        <v>6247202.5</v>
      </c>
      <c r="S308" s="25">
        <f t="shared" si="134"/>
        <v>0</v>
      </c>
      <c r="T308" s="235">
        <f t="shared" si="135"/>
        <v>6247202.5</v>
      </c>
      <c r="U308" s="25">
        <f t="shared" si="136"/>
        <v>6247202.5</v>
      </c>
      <c r="V308" s="25">
        <f t="shared" si="137"/>
        <v>2778055</v>
      </c>
      <c r="W308" s="25">
        <f t="shared" si="138"/>
        <v>9025257.5</v>
      </c>
      <c r="X308" s="374" t="e">
        <f t="shared" si="139"/>
        <v>#VALUE!</v>
      </c>
      <c r="Y308" s="373">
        <f t="shared" si="140"/>
        <v>9025257.5</v>
      </c>
      <c r="Z308" s="373">
        <f t="shared" si="141"/>
        <v>0</v>
      </c>
      <c r="AA308" s="373">
        <f t="shared" si="142"/>
        <v>9025257.5</v>
      </c>
      <c r="AB308" s="374" t="e">
        <f t="shared" si="143"/>
        <v>#VALUE!</v>
      </c>
      <c r="AC308" s="171">
        <v>0</v>
      </c>
      <c r="AD308" s="46">
        <v>24</v>
      </c>
      <c r="AE308" s="46" t="s">
        <v>1304</v>
      </c>
      <c r="AF308" s="46" t="s">
        <v>1421</v>
      </c>
      <c r="AG308" s="46">
        <v>0</v>
      </c>
      <c r="AH308" s="46" t="s">
        <v>53</v>
      </c>
      <c r="AI308" s="46" t="s">
        <v>53</v>
      </c>
      <c r="AJ308" s="46" t="s">
        <v>53</v>
      </c>
      <c r="AK308" s="46" t="s">
        <v>54</v>
      </c>
      <c r="AL308" s="33" t="s">
        <v>70</v>
      </c>
      <c r="AM308" s="15"/>
      <c r="AN308" s="15"/>
      <c r="AO308" s="15"/>
      <c r="AP308" s="15"/>
      <c r="AQ308" s="15"/>
      <c r="AR308" s="15"/>
      <c r="AS308" s="15"/>
      <c r="AT308" s="108"/>
      <c r="AU308" s="15"/>
      <c r="AV308" s="15"/>
      <c r="AW308" s="15"/>
      <c r="AX308" s="15"/>
      <c r="AY308" s="125">
        <f>SUM(AM308:AX308)</f>
        <v>0</v>
      </c>
      <c r="AZ308" s="15">
        <v>0</v>
      </c>
      <c r="BA308" s="15">
        <v>0</v>
      </c>
      <c r="BB308" s="15">
        <v>0</v>
      </c>
      <c r="BC308" s="15">
        <v>0</v>
      </c>
      <c r="BD308" s="15">
        <v>0</v>
      </c>
      <c r="BE308" s="15">
        <v>499502.5</v>
      </c>
      <c r="BF308" s="15">
        <v>0</v>
      </c>
      <c r="BG308" s="15">
        <v>0</v>
      </c>
      <c r="BH308" s="15">
        <v>0</v>
      </c>
      <c r="BI308" s="15">
        <v>2326450</v>
      </c>
      <c r="BJ308" s="1"/>
      <c r="BK308" s="15">
        <v>3421250</v>
      </c>
      <c r="BL308" s="125">
        <f>SUM(AZ308:BK308)</f>
        <v>6247202.5</v>
      </c>
      <c r="BM308" s="15"/>
      <c r="BN308" s="15"/>
      <c r="BO308" s="15"/>
      <c r="BP308" s="15"/>
      <c r="BQ308" s="15"/>
      <c r="BR308" s="15"/>
      <c r="BS308" s="15"/>
      <c r="BT308" s="15"/>
      <c r="BU308" s="15"/>
      <c r="BV308" s="15"/>
      <c r="BW308" s="15"/>
      <c r="BX308" s="15"/>
      <c r="BY308" s="124">
        <f>SUM(BM308:BX308)</f>
        <v>0</v>
      </c>
      <c r="BZ308" s="42"/>
      <c r="CA308" s="42"/>
      <c r="CB308" s="42"/>
      <c r="CC308" s="42">
        <v>1553247.5</v>
      </c>
      <c r="CD308" s="25"/>
      <c r="CE308" s="25"/>
      <c r="CF308" s="25">
        <v>403707.5</v>
      </c>
      <c r="CG308" s="25"/>
      <c r="CH308" s="25"/>
      <c r="CI308" s="25"/>
      <c r="CJ308" s="25">
        <v>485817.5</v>
      </c>
      <c r="CK308" s="25">
        <v>335282.5</v>
      </c>
      <c r="CL308" s="235">
        <f t="shared" si="144"/>
        <v>2778055</v>
      </c>
      <c r="CM308" s="1"/>
      <c r="CN308" s="1"/>
      <c r="CO308" s="1"/>
      <c r="CP308" s="1"/>
      <c r="CQ308" s="1"/>
      <c r="CR308" s="1"/>
      <c r="CS308" s="1"/>
      <c r="CT308" s="1"/>
      <c r="CU308" s="1"/>
      <c r="CV308" s="1"/>
      <c r="CW308" s="1"/>
      <c r="CX308" s="1"/>
      <c r="CY308" s="1">
        <f t="shared" si="145"/>
        <v>0</v>
      </c>
      <c r="DC308" s="1"/>
      <c r="DD308" s="1"/>
      <c r="DE308" s="1"/>
      <c r="DF308" s="1"/>
      <c r="DG308" s="1"/>
      <c r="DH308" s="1"/>
      <c r="DI308" s="1"/>
      <c r="DJ308" s="1"/>
      <c r="DK308" s="1"/>
      <c r="DL308" s="1"/>
      <c r="DM308" s="1"/>
      <c r="DN308" s="1"/>
      <c r="DO308" s="1">
        <f t="shared" si="90"/>
        <v>0</v>
      </c>
    </row>
    <row r="309" spans="1:119" s="19" customFormat="1" ht="61.5" customHeight="1" x14ac:dyDescent="0.25">
      <c r="A309" s="3" t="s">
        <v>421</v>
      </c>
      <c r="B309" s="474" t="s">
        <v>107</v>
      </c>
      <c r="C309" s="17" t="s">
        <v>422</v>
      </c>
      <c r="D309" s="17" t="s">
        <v>423</v>
      </c>
      <c r="E309" s="17" t="s">
        <v>412</v>
      </c>
      <c r="F309" s="17" t="s">
        <v>49</v>
      </c>
      <c r="G309" s="474" t="s">
        <v>354</v>
      </c>
      <c r="H309" s="474" t="s">
        <v>316</v>
      </c>
      <c r="I309" s="493">
        <v>44161</v>
      </c>
      <c r="J309" s="493">
        <v>45256</v>
      </c>
      <c r="K309" s="497" t="s">
        <v>493</v>
      </c>
      <c r="L309" s="482"/>
      <c r="M309" s="282">
        <f t="shared" si="129"/>
        <v>0</v>
      </c>
      <c r="N309" s="498">
        <f t="shared" si="130"/>
        <v>0</v>
      </c>
      <c r="O309" s="491">
        <f t="shared" si="131"/>
        <v>0</v>
      </c>
      <c r="P309" s="282">
        <f t="shared" si="132"/>
        <v>2216132.3400000003</v>
      </c>
      <c r="Q309" s="498">
        <f>O309+P309</f>
        <v>2216132.3400000003</v>
      </c>
      <c r="R309" s="491">
        <f t="shared" si="133"/>
        <v>2216132.3400000003</v>
      </c>
      <c r="S309" s="282">
        <f t="shared" si="134"/>
        <v>1473333.78</v>
      </c>
      <c r="T309" s="486">
        <f t="shared" si="135"/>
        <v>3689466.12</v>
      </c>
      <c r="U309" s="282">
        <f t="shared" si="136"/>
        <v>3689466.12</v>
      </c>
      <c r="V309" s="282">
        <f t="shared" si="137"/>
        <v>54670208.979999997</v>
      </c>
      <c r="W309" s="282">
        <f t="shared" si="138"/>
        <v>58359675.099999994</v>
      </c>
      <c r="X309" s="499" t="e">
        <f t="shared" si="139"/>
        <v>#VALUE!</v>
      </c>
      <c r="Y309" s="500">
        <f t="shared" si="140"/>
        <v>58359675.099999994</v>
      </c>
      <c r="Z309" s="500">
        <f t="shared" si="141"/>
        <v>2252372.56</v>
      </c>
      <c r="AA309" s="500">
        <f t="shared" si="142"/>
        <v>60612047.659999996</v>
      </c>
      <c r="AB309" s="499" t="e">
        <f t="shared" si="143"/>
        <v>#VALUE!</v>
      </c>
      <c r="AC309" s="489">
        <v>0</v>
      </c>
      <c r="AD309" s="477">
        <v>36</v>
      </c>
      <c r="AE309" s="477" t="s">
        <v>1304</v>
      </c>
      <c r="AF309" s="477">
        <v>0</v>
      </c>
      <c r="AG309" s="477">
        <v>0</v>
      </c>
      <c r="AH309" s="477" t="s">
        <v>53</v>
      </c>
      <c r="AI309" s="477" t="s">
        <v>53</v>
      </c>
      <c r="AJ309" s="477" t="s">
        <v>53</v>
      </c>
      <c r="AK309" s="477" t="s">
        <v>54</v>
      </c>
      <c r="AL309" s="474" t="s">
        <v>70</v>
      </c>
      <c r="AM309" s="478"/>
      <c r="AN309" s="478"/>
      <c r="AO309" s="478"/>
      <c r="AP309" s="478"/>
      <c r="AQ309" s="478"/>
      <c r="AR309" s="478"/>
      <c r="AS309" s="478"/>
      <c r="AT309" s="490"/>
      <c r="AU309" s="478"/>
      <c r="AV309" s="478"/>
      <c r="AW309" s="478"/>
      <c r="AX309" s="478"/>
      <c r="AY309" s="479">
        <f>SUM(AM309:AX309)</f>
        <v>0</v>
      </c>
      <c r="AZ309" s="478"/>
      <c r="BA309" s="478"/>
      <c r="BB309" s="478"/>
      <c r="BC309" s="478"/>
      <c r="BD309" s="478">
        <v>83190</v>
      </c>
      <c r="BE309" s="478">
        <f>3703.81+7077+5410.71+8890+38175+8198+160239.38+10531.4+30186</f>
        <v>272411.30000000005</v>
      </c>
      <c r="BF309" s="478">
        <v>0</v>
      </c>
      <c r="BG309" s="478">
        <f>85936.2+1800+106522.2</f>
        <v>194258.4</v>
      </c>
      <c r="BH309" s="478">
        <f>7036.8+3180.62+3040+110862.24+4740.06+28645.4+38922.5+230025+90466.38</f>
        <v>516919</v>
      </c>
      <c r="BI309" s="478">
        <f>42103.98+11457+2274.5+24357+211457.45</f>
        <v>291649.93000000005</v>
      </c>
      <c r="BJ309" s="478">
        <f>8440+10728.01+27360+13555+16544.8+4358.99+12444+11076+10038+6680.01+6405+2038+61460+44344+23950+27359.65+1884</f>
        <v>288665.46000000002</v>
      </c>
      <c r="BK309" s="478">
        <f>1653+1724+25600+31760+23297.68+7477.5+2109.5+102918.68+284812.5+6878+1818+3336+6635.99+4205+35790.4+7450+7285+7538+2940+3809</f>
        <v>569038.25</v>
      </c>
      <c r="BL309" s="479">
        <f>SUM(AZ309:BK309)</f>
        <v>2216132.3400000003</v>
      </c>
      <c r="BM309" s="478">
        <f>1697+6878+8132</f>
        <v>16707</v>
      </c>
      <c r="BN309" s="478">
        <f>5052+5399+5568+48810+90759.6</f>
        <v>155588.6</v>
      </c>
      <c r="BO309" s="478">
        <f>1724.5+3468+3468+8672+11812+11943+14704.5+27360+80930</f>
        <v>164082</v>
      </c>
      <c r="BP309" s="478">
        <f>3336+3572.5+4491</f>
        <v>11399.5</v>
      </c>
      <c r="BQ309" s="478">
        <f>3809+9400</f>
        <v>13209</v>
      </c>
      <c r="BR309" s="478">
        <f>7758+3072+13555+14556</f>
        <v>38941</v>
      </c>
      <c r="BS309" s="478">
        <v>10497</v>
      </c>
      <c r="BT309" s="478">
        <f>1818+3336+4359+4491+6636+8418+33790.05+34125+54541+55695.45+662588.27</f>
        <v>869797.77</v>
      </c>
      <c r="BU309" s="478">
        <f>11124+12438.2+15354+1653+3572.5+5563.5+11608+12972+16913+27700.21</f>
        <v>118898.41</v>
      </c>
      <c r="BV309" s="478">
        <f>4854+13007.5</f>
        <v>17861.5</v>
      </c>
      <c r="BW309" s="478"/>
      <c r="BX309" s="478">
        <f>19382.5+1884+4436+7714+10953.5+11982</f>
        <v>56352</v>
      </c>
      <c r="BY309" s="504">
        <f>SUM(BM309:BX309)</f>
        <v>1473333.78</v>
      </c>
      <c r="BZ309" s="282">
        <f>48739+13500+7791+5778+12444</f>
        <v>88252</v>
      </c>
      <c r="CA309" s="282">
        <f>82041+172428+6817.5+7065+29109+3809+9342+1884</f>
        <v>312495.5</v>
      </c>
      <c r="CB309" s="282">
        <f>139590.2+42375+3666+117582.01+8946+76002+25600+17130+2280+43750+169755+24162+13764+5926.5</f>
        <v>690528.71</v>
      </c>
      <c r="CC309" s="282">
        <f>21728+24390+5404+36325+42243+59590+140869+7090+20796+17831.5</f>
        <v>376266.5</v>
      </c>
      <c r="CD309" s="506">
        <f>26318+687327.5+3534+3666+3666+4639.5+6174+6790+8473+8946+27252.5+30594+10398+48155</f>
        <v>875933.5</v>
      </c>
      <c r="CE309" s="282">
        <v>98379.08</v>
      </c>
      <c r="CF309" s="282">
        <f>6064+26634+33420+5910+6240</f>
        <v>78268</v>
      </c>
      <c r="CG309" s="282">
        <f>13236+139692+51517505+7747+9324.54+10101+17130+34420+34917+48155</f>
        <v>51832227.539999999</v>
      </c>
      <c r="CH309" s="282">
        <f>102312+1917+3182+3182+4656+539+6060+880+10002+11429+11828+28416</f>
        <v>184403</v>
      </c>
      <c r="CI309" s="282">
        <f>1785+1917+3182</f>
        <v>6884</v>
      </c>
      <c r="CJ309" s="282">
        <f>7746.17+11619+45959.98</f>
        <v>65325.15</v>
      </c>
      <c r="CK309" s="282">
        <f>50790+1741+8715</f>
        <v>61246</v>
      </c>
      <c r="CL309" s="486">
        <f t="shared" si="144"/>
        <v>54670208.979999997</v>
      </c>
      <c r="CM309" s="17">
        <f>10612.5+1741+3559+25845+24901+22281+6768+146521.16+15479.98+33960+5288.5+102820+3534+15447+5349+3424+6515+10398+36640+2054.5+3074.9+4623+5349+3182+1755+6064+3820+4040+4623+35320</f>
        <v>554989.54</v>
      </c>
      <c r="CN309" s="17">
        <f>26098+3803+3182</f>
        <v>33083</v>
      </c>
      <c r="CO309" s="17">
        <f>63334.95+144029.3+4063.38+7586.4+131176.64+4170.9+6106.35+10242.9+8902+4700+10470.6+10827+56067.52+70558.49</f>
        <v>532236.43000000005</v>
      </c>
      <c r="CP309" s="17">
        <f>64169.85+5549.75+1957.15+2235.45+10242.9+16861.5+8902+39741.08</f>
        <v>149659.68</v>
      </c>
      <c r="CQ309" s="17">
        <f>4263.25+19477.4+321345.66+74980.54+5563.5+5271.45+36045.3+80293</f>
        <v>547240.1</v>
      </c>
      <c r="CR309" s="17">
        <f>40461.6+3659.3+2235.45+2280+20800+35657.82+2090.7+20230.8+8883.75+2002.15+3979.89+4622.7+33114.86+10844.5+25157.25+16444.13+11957.7+3614.3+35286.1+2204.55+3760.5+5923.65+3581.49+2090.7+20835+1855.95+111588.97</f>
        <v>435163.81000000006</v>
      </c>
      <c r="CS309" s="17"/>
      <c r="CT309" s="17"/>
      <c r="CU309" s="17"/>
      <c r="CV309" s="17"/>
      <c r="CW309" s="17"/>
      <c r="CX309" s="17"/>
      <c r="CY309" s="17">
        <f t="shared" si="145"/>
        <v>2252372.56</v>
      </c>
      <c r="CZ309" s="363"/>
      <c r="DA309" s="363"/>
      <c r="DB309" s="363"/>
      <c r="DC309" s="520">
        <v>267551.44449999993</v>
      </c>
      <c r="DD309" s="520">
        <v>211660.16799999995</v>
      </c>
      <c r="DE309" s="520">
        <v>429709.56349999999</v>
      </c>
      <c r="DF309" s="520">
        <v>339385.90699999995</v>
      </c>
      <c r="DG309" s="520">
        <v>773143.7925000001</v>
      </c>
      <c r="DH309" s="520">
        <f>[1]rptDetailedGeneralLedger!$P$5840+[1]rptDetailedGeneralLedger!$P$5842+[1]rptDetailedGeneralLedger!$P$5844+[1]rptDetailedGeneralLedger!$P$5845+[1]rptDetailedGeneralLedger!$P$5846+[1]rptDetailedGeneralLedger!$P$5847+[1]rptDetailedGeneralLedger!$P$5848+[1]rptDetailedGeneralLedger!$P$5849+[1]rptDetailedGeneralLedger!$P$5925+[1]rptDetailedGeneralLedger!$P$5934</f>
        <v>191431.01999999996</v>
      </c>
      <c r="DI309" s="520">
        <f>[1]rptDetailedGeneralLedger!$P$5864+[1]rptDetailedGeneralLedger!$P$5865</f>
        <v>12112.95</v>
      </c>
      <c r="DJ309" s="520">
        <f>[1]rptDetailedGeneralLedger!$P$5915</f>
        <v>68434.2</v>
      </c>
      <c r="DK309" s="17">
        <f>0</f>
        <v>0</v>
      </c>
      <c r="DL309" s="520">
        <f>[1]rptDetailedGeneralLedger!$P$5866</f>
        <v>6751.5</v>
      </c>
      <c r="DM309" s="17">
        <v>0</v>
      </c>
      <c r="DN309" s="514">
        <v>83823.040000000008</v>
      </c>
      <c r="DO309" s="520">
        <f>SUM(DC309:DN309)</f>
        <v>2384003.5855000005</v>
      </c>
    </row>
    <row r="310" spans="1:119" s="19" customFormat="1" ht="61.5" customHeight="1" thickBot="1" x14ac:dyDescent="0.25">
      <c r="A310" s="481" t="s">
        <v>1345</v>
      </c>
      <c r="B310" s="17" t="s">
        <v>107</v>
      </c>
      <c r="C310" s="481" t="s">
        <v>1347</v>
      </c>
      <c r="D310" s="17" t="s">
        <v>1340</v>
      </c>
      <c r="E310" s="17" t="s">
        <v>1389</v>
      </c>
      <c r="F310" s="17" t="s">
        <v>49</v>
      </c>
      <c r="G310" s="17" t="s">
        <v>328</v>
      </c>
      <c r="H310" s="17" t="s">
        <v>316</v>
      </c>
      <c r="I310" s="475">
        <v>44757</v>
      </c>
      <c r="J310" s="475">
        <v>45853</v>
      </c>
      <c r="K310" s="522" t="s">
        <v>493</v>
      </c>
      <c r="L310" s="509"/>
      <c r="M310" s="510">
        <f t="shared" si="129"/>
        <v>0</v>
      </c>
      <c r="N310" s="511">
        <f t="shared" si="130"/>
        <v>0</v>
      </c>
      <c r="O310" s="512">
        <f t="shared" si="131"/>
        <v>0</v>
      </c>
      <c r="P310" s="510">
        <f t="shared" si="132"/>
        <v>0</v>
      </c>
      <c r="Q310" s="511">
        <f>'RATES BASED'!P35+'RATES BASED'!Q35</f>
        <v>0</v>
      </c>
      <c r="R310" s="512">
        <f t="shared" si="133"/>
        <v>0</v>
      </c>
      <c r="S310" s="510">
        <f t="shared" si="134"/>
        <v>0</v>
      </c>
      <c r="T310" s="513">
        <f t="shared" si="135"/>
        <v>0</v>
      </c>
      <c r="U310" s="282">
        <f t="shared" si="136"/>
        <v>0</v>
      </c>
      <c r="V310" s="282">
        <f t="shared" si="137"/>
        <v>728237.5</v>
      </c>
      <c r="W310" s="509">
        <f t="shared" si="138"/>
        <v>728237.5</v>
      </c>
      <c r="X310" s="499" t="e">
        <f t="shared" si="139"/>
        <v>#VALUE!</v>
      </c>
      <c r="Y310" s="500">
        <f t="shared" si="140"/>
        <v>728237.5</v>
      </c>
      <c r="Z310" s="500">
        <f t="shared" si="141"/>
        <v>0</v>
      </c>
      <c r="AA310" s="500">
        <f t="shared" si="142"/>
        <v>728237.5</v>
      </c>
      <c r="AB310" s="499" t="e">
        <f t="shared" si="143"/>
        <v>#VALUE!</v>
      </c>
      <c r="AC310" s="501">
        <v>0</v>
      </c>
      <c r="AD310" s="502">
        <v>36</v>
      </c>
      <c r="AE310" s="502" t="s">
        <v>1304</v>
      </c>
      <c r="AF310" s="502">
        <v>0</v>
      </c>
      <c r="AG310" s="502">
        <v>0</v>
      </c>
      <c r="AH310" s="502" t="s">
        <v>53</v>
      </c>
      <c r="AI310" s="502" t="s">
        <v>53</v>
      </c>
      <c r="AJ310" s="502" t="s">
        <v>53</v>
      </c>
      <c r="AK310" s="502" t="s">
        <v>54</v>
      </c>
      <c r="AL310" s="495" t="s">
        <v>70</v>
      </c>
      <c r="AM310" s="478"/>
      <c r="AN310" s="478"/>
      <c r="AO310" s="478"/>
      <c r="AP310" s="478"/>
      <c r="AQ310" s="478"/>
      <c r="AR310" s="478"/>
      <c r="AS310" s="478"/>
      <c r="AT310" s="478"/>
      <c r="AU310" s="478"/>
      <c r="AV310" s="478"/>
      <c r="AW310" s="478"/>
      <c r="AX310" s="478"/>
      <c r="AY310" s="479"/>
      <c r="AZ310" s="478"/>
      <c r="BA310" s="478"/>
      <c r="BB310" s="478"/>
      <c r="BC310" s="478"/>
      <c r="BD310" s="478"/>
      <c r="BE310" s="478"/>
      <c r="BF310" s="478"/>
      <c r="BG310" s="478"/>
      <c r="BH310" s="478"/>
      <c r="BI310" s="478"/>
      <c r="BJ310" s="478"/>
      <c r="BK310" s="478"/>
      <c r="BL310" s="508"/>
      <c r="BM310" s="478"/>
      <c r="BN310" s="478"/>
      <c r="BO310" s="478"/>
      <c r="BP310" s="478"/>
      <c r="BQ310" s="478"/>
      <c r="BR310" s="478"/>
      <c r="BS310" s="478"/>
      <c r="BT310" s="478"/>
      <c r="BU310" s="478"/>
      <c r="BV310" s="478"/>
      <c r="BW310" s="478"/>
      <c r="BX310" s="478"/>
      <c r="BY310" s="478"/>
      <c r="BZ310" s="17">
        <v>174225</v>
      </c>
      <c r="CA310" s="17">
        <v>121210</v>
      </c>
      <c r="CB310" s="17"/>
      <c r="CC310" s="17"/>
      <c r="CD310" s="17">
        <v>374152.5</v>
      </c>
      <c r="CE310" s="17"/>
      <c r="CF310" s="17"/>
      <c r="CG310" s="17">
        <v>58650</v>
      </c>
      <c r="CH310" s="17"/>
      <c r="CI310" s="17"/>
      <c r="CJ310" s="17"/>
      <c r="CK310" s="17"/>
      <c r="CL310" s="480">
        <f t="shared" si="144"/>
        <v>728237.5</v>
      </c>
      <c r="CM310" s="17"/>
      <c r="CN310" s="17"/>
      <c r="CO310" s="17"/>
      <c r="CP310" s="17"/>
      <c r="CQ310" s="17"/>
      <c r="CR310" s="17"/>
      <c r="CS310" s="17"/>
      <c r="CT310" s="17"/>
      <c r="CU310" s="17"/>
      <c r="CV310" s="17"/>
      <c r="CW310" s="17"/>
      <c r="CX310" s="17"/>
      <c r="CY310" s="17">
        <f t="shared" si="145"/>
        <v>0</v>
      </c>
      <c r="CZ310" s="363"/>
      <c r="DA310" s="363"/>
      <c r="DB310" s="363"/>
      <c r="DC310" s="17"/>
      <c r="DD310" s="17"/>
      <c r="DE310" s="17"/>
      <c r="DF310" s="17">
        <v>128943.75</v>
      </c>
      <c r="DG310" s="17"/>
      <c r="DH310" s="17"/>
      <c r="DI310" s="17"/>
      <c r="DJ310" s="17"/>
      <c r="DK310" s="17"/>
      <c r="DL310" s="17"/>
      <c r="DM310" s="17"/>
      <c r="DN310" s="17"/>
      <c r="DO310" s="520">
        <f t="shared" ref="DO310:DO314" si="146">SUM(DC310:DN310)</f>
        <v>128943.75</v>
      </c>
    </row>
    <row r="311" spans="1:119" s="19" customFormat="1" ht="61.5" customHeight="1" thickBot="1" x14ac:dyDescent="0.25">
      <c r="A311" s="481" t="s">
        <v>1345</v>
      </c>
      <c r="B311" s="17" t="s">
        <v>107</v>
      </c>
      <c r="C311" s="481" t="s">
        <v>1347</v>
      </c>
      <c r="D311" s="17" t="s">
        <v>1341</v>
      </c>
      <c r="E311" s="17" t="s">
        <v>1390</v>
      </c>
      <c r="F311" s="17" t="s">
        <v>49</v>
      </c>
      <c r="G311" s="17" t="s">
        <v>328</v>
      </c>
      <c r="H311" s="17" t="s">
        <v>316</v>
      </c>
      <c r="I311" s="475">
        <v>44757</v>
      </c>
      <c r="J311" s="475">
        <v>45853</v>
      </c>
      <c r="K311" s="522" t="s">
        <v>493</v>
      </c>
      <c r="L311" s="509"/>
      <c r="M311" s="510">
        <f t="shared" si="129"/>
        <v>0</v>
      </c>
      <c r="N311" s="511">
        <f t="shared" si="130"/>
        <v>0</v>
      </c>
      <c r="O311" s="512">
        <f t="shared" si="131"/>
        <v>0</v>
      </c>
      <c r="P311" s="510">
        <f t="shared" si="132"/>
        <v>0</v>
      </c>
      <c r="Q311" s="511">
        <f>'RATES BASED'!P21+'RATES BASED'!Q21</f>
        <v>0</v>
      </c>
      <c r="R311" s="512">
        <f t="shared" si="133"/>
        <v>0</v>
      </c>
      <c r="S311" s="510">
        <f t="shared" si="134"/>
        <v>0</v>
      </c>
      <c r="T311" s="513">
        <f t="shared" si="135"/>
        <v>0</v>
      </c>
      <c r="U311" s="282">
        <f t="shared" si="136"/>
        <v>0</v>
      </c>
      <c r="V311" s="282">
        <f t="shared" si="137"/>
        <v>1433141.5</v>
      </c>
      <c r="W311" s="509">
        <f t="shared" si="138"/>
        <v>1433141.5</v>
      </c>
      <c r="X311" s="499" t="e">
        <f t="shared" si="139"/>
        <v>#VALUE!</v>
      </c>
      <c r="Y311" s="500">
        <f t="shared" si="140"/>
        <v>1433141.5</v>
      </c>
      <c r="Z311" s="500">
        <f t="shared" si="141"/>
        <v>0</v>
      </c>
      <c r="AA311" s="500">
        <f t="shared" si="142"/>
        <v>1433141.5</v>
      </c>
      <c r="AB311" s="499" t="e">
        <f t="shared" si="143"/>
        <v>#VALUE!</v>
      </c>
      <c r="AC311" s="501">
        <v>0</v>
      </c>
      <c r="AD311" s="502">
        <v>36</v>
      </c>
      <c r="AE311" s="502" t="s">
        <v>1304</v>
      </c>
      <c r="AF311" s="502">
        <v>0</v>
      </c>
      <c r="AG311" s="502">
        <v>0</v>
      </c>
      <c r="AH311" s="502" t="s">
        <v>53</v>
      </c>
      <c r="AI311" s="502" t="s">
        <v>53</v>
      </c>
      <c r="AJ311" s="502" t="s">
        <v>53</v>
      </c>
      <c r="AK311" s="502" t="s">
        <v>54</v>
      </c>
      <c r="AL311" s="495" t="s">
        <v>70</v>
      </c>
      <c r="AM311" s="478"/>
      <c r="AN311" s="478"/>
      <c r="AO311" s="478"/>
      <c r="AP311" s="478"/>
      <c r="AQ311" s="478"/>
      <c r="AR311" s="478"/>
      <c r="AS311" s="478"/>
      <c r="AT311" s="478"/>
      <c r="AU311" s="478"/>
      <c r="AV311" s="478"/>
      <c r="AW311" s="478"/>
      <c r="AX311" s="478"/>
      <c r="AY311" s="479"/>
      <c r="AZ311" s="478"/>
      <c r="BA311" s="478"/>
      <c r="BB311" s="478"/>
      <c r="BC311" s="478"/>
      <c r="BD311" s="478"/>
      <c r="BE311" s="478"/>
      <c r="BF311" s="478"/>
      <c r="BG311" s="478"/>
      <c r="BH311" s="478"/>
      <c r="BI311" s="478"/>
      <c r="BJ311" s="478"/>
      <c r="BK311" s="478"/>
      <c r="BL311" s="508"/>
      <c r="BM311" s="478"/>
      <c r="BN311" s="478"/>
      <c r="BO311" s="478"/>
      <c r="BP311" s="478"/>
      <c r="BQ311" s="478"/>
      <c r="BR311" s="478"/>
      <c r="BS311" s="478"/>
      <c r="BT311" s="478"/>
      <c r="BU311" s="478"/>
      <c r="BV311" s="478"/>
      <c r="BW311" s="478"/>
      <c r="BX311" s="478"/>
      <c r="BY311" s="478"/>
      <c r="BZ311" s="17">
        <v>33741</v>
      </c>
      <c r="CA311" s="17">
        <v>134118.75</v>
      </c>
      <c r="CB311" s="17"/>
      <c r="CC311" s="17"/>
      <c r="CD311" s="17">
        <f>102350+302220+291180</f>
        <v>695750</v>
      </c>
      <c r="CE311" s="17"/>
      <c r="CF311" s="17">
        <v>181700</v>
      </c>
      <c r="CG311" s="17"/>
      <c r="CH311" s="17"/>
      <c r="CI311" s="17">
        <v>62123</v>
      </c>
      <c r="CJ311" s="17">
        <f>134118.75+191590</f>
        <v>325708.75</v>
      </c>
      <c r="CK311" s="17"/>
      <c r="CL311" s="480">
        <f t="shared" si="144"/>
        <v>1433141.5</v>
      </c>
      <c r="CM311" s="17"/>
      <c r="CN311" s="17"/>
      <c r="CO311" s="17"/>
      <c r="CP311" s="17"/>
      <c r="CQ311" s="17"/>
      <c r="CR311" s="17"/>
      <c r="CS311" s="17"/>
      <c r="CT311" s="17"/>
      <c r="CU311" s="17"/>
      <c r="CV311" s="17"/>
      <c r="CW311" s="17"/>
      <c r="CX311" s="17"/>
      <c r="CY311" s="17">
        <f t="shared" si="145"/>
        <v>0</v>
      </c>
      <c r="CZ311" s="363"/>
      <c r="DA311" s="363"/>
      <c r="DB311" s="363"/>
      <c r="DC311" s="17"/>
      <c r="DD311" s="363"/>
      <c r="DE311" s="17">
        <f>49967.5+49967.5</f>
        <v>99935</v>
      </c>
      <c r="DF311" s="17">
        <f>130927.5+91913.75+229718.25</f>
        <v>452559.5</v>
      </c>
      <c r="DG311" s="17"/>
      <c r="DH311" s="17"/>
      <c r="DI311" s="17"/>
      <c r="DJ311" s="17"/>
      <c r="DK311" s="17">
        <v>339825</v>
      </c>
      <c r="DL311" s="17"/>
      <c r="DM311" s="17"/>
      <c r="DN311" s="17"/>
      <c r="DO311" s="520">
        <f t="shared" si="146"/>
        <v>892319.5</v>
      </c>
    </row>
    <row r="312" spans="1:119" s="19" customFormat="1" ht="61.5" customHeight="1" thickBot="1" x14ac:dyDescent="0.25">
      <c r="A312" s="481" t="s">
        <v>1345</v>
      </c>
      <c r="B312" s="17" t="s">
        <v>107</v>
      </c>
      <c r="C312" s="481" t="s">
        <v>1347</v>
      </c>
      <c r="D312" s="17" t="s">
        <v>1342</v>
      </c>
      <c r="E312" s="17" t="s">
        <v>1391</v>
      </c>
      <c r="F312" s="17" t="s">
        <v>49</v>
      </c>
      <c r="G312" s="17" t="s">
        <v>328</v>
      </c>
      <c r="H312" s="17" t="s">
        <v>316</v>
      </c>
      <c r="I312" s="475">
        <v>44757</v>
      </c>
      <c r="J312" s="475">
        <v>45853</v>
      </c>
      <c r="K312" s="522" t="s">
        <v>493</v>
      </c>
      <c r="L312" s="509"/>
      <c r="M312" s="510">
        <f t="shared" si="129"/>
        <v>0</v>
      </c>
      <c r="N312" s="511">
        <f t="shared" si="130"/>
        <v>0</v>
      </c>
      <c r="O312" s="512">
        <f t="shared" si="131"/>
        <v>0</v>
      </c>
      <c r="P312" s="510">
        <f t="shared" si="132"/>
        <v>0</v>
      </c>
      <c r="Q312" s="511">
        <f>O310+P310</f>
        <v>0</v>
      </c>
      <c r="R312" s="512">
        <f t="shared" si="133"/>
        <v>0</v>
      </c>
      <c r="S312" s="510">
        <f t="shared" si="134"/>
        <v>0</v>
      </c>
      <c r="T312" s="513">
        <f t="shared" si="135"/>
        <v>0</v>
      </c>
      <c r="U312" s="282">
        <f t="shared" si="136"/>
        <v>0</v>
      </c>
      <c r="V312" s="282">
        <f t="shared" si="137"/>
        <v>413250.11</v>
      </c>
      <c r="W312" s="509">
        <f t="shared" si="138"/>
        <v>413250.11</v>
      </c>
      <c r="X312" s="499" t="e">
        <f t="shared" si="139"/>
        <v>#VALUE!</v>
      </c>
      <c r="Y312" s="500">
        <f t="shared" si="140"/>
        <v>413250.11</v>
      </c>
      <c r="Z312" s="500">
        <f t="shared" si="141"/>
        <v>0</v>
      </c>
      <c r="AA312" s="500">
        <f t="shared" si="142"/>
        <v>413250.11</v>
      </c>
      <c r="AB312" s="499" t="e">
        <f t="shared" si="143"/>
        <v>#VALUE!</v>
      </c>
      <c r="AC312" s="501">
        <v>0</v>
      </c>
      <c r="AD312" s="502">
        <v>36</v>
      </c>
      <c r="AE312" s="502" t="s">
        <v>1304</v>
      </c>
      <c r="AF312" s="502">
        <v>0</v>
      </c>
      <c r="AG312" s="502">
        <v>0</v>
      </c>
      <c r="AH312" s="502" t="s">
        <v>53</v>
      </c>
      <c r="AI312" s="502" t="s">
        <v>53</v>
      </c>
      <c r="AJ312" s="502" t="s">
        <v>53</v>
      </c>
      <c r="AK312" s="502" t="s">
        <v>54</v>
      </c>
      <c r="AL312" s="495" t="s">
        <v>70</v>
      </c>
      <c r="AM312" s="478"/>
      <c r="AN312" s="478"/>
      <c r="AO312" s="478"/>
      <c r="AP312" s="478"/>
      <c r="AQ312" s="478"/>
      <c r="AR312" s="478"/>
      <c r="AS312" s="478"/>
      <c r="AT312" s="478"/>
      <c r="AU312" s="478"/>
      <c r="AV312" s="478"/>
      <c r="AW312" s="478"/>
      <c r="AX312" s="478"/>
      <c r="AY312" s="479"/>
      <c r="AZ312" s="478"/>
      <c r="BA312" s="478"/>
      <c r="BB312" s="478"/>
      <c r="BC312" s="478"/>
      <c r="BD312" s="478"/>
      <c r="BE312" s="478"/>
      <c r="BF312" s="478"/>
      <c r="BG312" s="478"/>
      <c r="BH312" s="478"/>
      <c r="BI312" s="478"/>
      <c r="BJ312" s="478"/>
      <c r="BK312" s="478"/>
      <c r="BL312" s="508"/>
      <c r="BM312" s="478"/>
      <c r="BN312" s="478"/>
      <c r="BO312" s="478"/>
      <c r="BP312" s="478"/>
      <c r="BQ312" s="478"/>
      <c r="BR312" s="478"/>
      <c r="BS312" s="478"/>
      <c r="BT312" s="478"/>
      <c r="BU312" s="478"/>
      <c r="BV312" s="478"/>
      <c r="BW312" s="478"/>
      <c r="BX312" s="478"/>
      <c r="BY312" s="478"/>
      <c r="BZ312" s="17"/>
      <c r="CA312" s="17"/>
      <c r="CB312" s="17">
        <v>232000</v>
      </c>
      <c r="CC312" s="17"/>
      <c r="CD312" s="17"/>
      <c r="CE312" s="17"/>
      <c r="CF312" s="17"/>
      <c r="CG312" s="17"/>
      <c r="CH312" s="17"/>
      <c r="CI312" s="17"/>
      <c r="CJ312" s="17">
        <v>181250.11</v>
      </c>
      <c r="CK312" s="17"/>
      <c r="CL312" s="480">
        <f t="shared" si="144"/>
        <v>413250.11</v>
      </c>
      <c r="CM312" s="17"/>
      <c r="CN312" s="17"/>
      <c r="CO312" s="17"/>
      <c r="CP312" s="17"/>
      <c r="CQ312" s="17"/>
      <c r="CR312" s="17"/>
      <c r="CS312" s="17"/>
      <c r="CT312" s="17"/>
      <c r="CU312" s="17"/>
      <c r="CV312" s="17"/>
      <c r="CW312" s="17"/>
      <c r="CX312" s="17"/>
      <c r="CY312" s="17">
        <f t="shared" si="145"/>
        <v>0</v>
      </c>
      <c r="CZ312" s="363"/>
      <c r="DA312" s="363"/>
      <c r="DB312" s="363"/>
      <c r="DC312" s="17"/>
      <c r="DD312" s="17"/>
      <c r="DE312" s="17">
        <f>74750+149500+42550</f>
        <v>266800</v>
      </c>
      <c r="DF312" s="17"/>
      <c r="DG312" s="17"/>
      <c r="DH312" s="17"/>
      <c r="DI312" s="17"/>
      <c r="DJ312" s="17"/>
      <c r="DK312" s="17"/>
      <c r="DL312" s="17"/>
      <c r="DM312" s="17"/>
      <c r="DN312" s="17"/>
      <c r="DO312" s="520">
        <f t="shared" si="146"/>
        <v>266800</v>
      </c>
    </row>
    <row r="313" spans="1:119" s="19" customFormat="1" ht="61.5" customHeight="1" thickBot="1" x14ac:dyDescent="0.25">
      <c r="A313" s="104" t="s">
        <v>1345</v>
      </c>
      <c r="B313" s="1" t="s">
        <v>107</v>
      </c>
      <c r="C313" s="104" t="s">
        <v>1347</v>
      </c>
      <c r="D313" s="1" t="s">
        <v>1343</v>
      </c>
      <c r="E313" s="1" t="s">
        <v>1392</v>
      </c>
      <c r="F313" s="1" t="s">
        <v>49</v>
      </c>
      <c r="G313" s="1" t="s">
        <v>328</v>
      </c>
      <c r="H313" s="1" t="s">
        <v>316</v>
      </c>
      <c r="I313" s="202">
        <v>44757</v>
      </c>
      <c r="J313" s="24">
        <v>45853</v>
      </c>
      <c r="K313" s="336" t="s">
        <v>493</v>
      </c>
      <c r="L313" s="116"/>
      <c r="M313" s="191">
        <f t="shared" si="129"/>
        <v>0</v>
      </c>
      <c r="N313" s="182">
        <f t="shared" si="130"/>
        <v>0</v>
      </c>
      <c r="O313" s="192">
        <f t="shared" si="131"/>
        <v>0</v>
      </c>
      <c r="P313" s="191">
        <f t="shared" si="132"/>
        <v>0</v>
      </c>
      <c r="Q313" s="182">
        <f>O311+P311</f>
        <v>0</v>
      </c>
      <c r="R313" s="192">
        <f t="shared" si="133"/>
        <v>0</v>
      </c>
      <c r="S313" s="191">
        <f t="shared" si="134"/>
        <v>0</v>
      </c>
      <c r="T313" s="234">
        <f t="shared" si="135"/>
        <v>0</v>
      </c>
      <c r="U313" s="25">
        <f t="shared" si="136"/>
        <v>0</v>
      </c>
      <c r="V313" s="25">
        <f t="shared" si="137"/>
        <v>338900</v>
      </c>
      <c r="W313" s="116">
        <f t="shared" si="138"/>
        <v>338900</v>
      </c>
      <c r="X313" s="374" t="e">
        <f t="shared" si="139"/>
        <v>#VALUE!</v>
      </c>
      <c r="Y313" s="373">
        <f t="shared" si="140"/>
        <v>338900</v>
      </c>
      <c r="Z313" s="373">
        <f t="shared" si="141"/>
        <v>0</v>
      </c>
      <c r="AA313" s="373">
        <f t="shared" si="142"/>
        <v>338900</v>
      </c>
      <c r="AB313" s="374" t="e">
        <f t="shared" si="143"/>
        <v>#VALUE!</v>
      </c>
      <c r="AC313" s="158">
        <v>0</v>
      </c>
      <c r="AD313" s="44">
        <v>36</v>
      </c>
      <c r="AE313" s="44" t="s">
        <v>1304</v>
      </c>
      <c r="AF313" s="44">
        <v>0</v>
      </c>
      <c r="AG313" s="44">
        <v>0</v>
      </c>
      <c r="AH313" s="44" t="s">
        <v>53</v>
      </c>
      <c r="AI313" s="44" t="s">
        <v>53</v>
      </c>
      <c r="AJ313" s="44" t="s">
        <v>53</v>
      </c>
      <c r="AK313" s="44" t="s">
        <v>54</v>
      </c>
      <c r="AL313" s="6" t="s">
        <v>70</v>
      </c>
      <c r="AM313" s="15"/>
      <c r="AN313" s="15"/>
      <c r="AO313" s="15"/>
      <c r="AP313" s="15"/>
      <c r="AQ313" s="15"/>
      <c r="AR313" s="15"/>
      <c r="AS313" s="15"/>
      <c r="AT313" s="15"/>
      <c r="AU313" s="15"/>
      <c r="AV313" s="15"/>
      <c r="AW313" s="15"/>
      <c r="AX313" s="15"/>
      <c r="AY313" s="102"/>
      <c r="AZ313" s="15"/>
      <c r="BA313" s="15"/>
      <c r="BB313" s="15"/>
      <c r="BC313" s="15"/>
      <c r="BD313" s="15"/>
      <c r="BE313" s="15"/>
      <c r="BF313" s="15"/>
      <c r="BG313" s="15"/>
      <c r="BH313" s="15"/>
      <c r="BI313" s="15"/>
      <c r="BJ313" s="15"/>
      <c r="BK313" s="15"/>
      <c r="BL313" s="242"/>
      <c r="BM313" s="15"/>
      <c r="BN313" s="15"/>
      <c r="BO313" s="15"/>
      <c r="BP313" s="15"/>
      <c r="BQ313" s="15"/>
      <c r="BR313" s="15"/>
      <c r="BS313" s="15"/>
      <c r="BT313" s="15"/>
      <c r="BU313" s="15"/>
      <c r="BV313" s="15"/>
      <c r="BW313" s="15"/>
      <c r="BX313" s="15"/>
      <c r="BY313" s="15"/>
      <c r="BZ313" s="1"/>
      <c r="CA313" s="1"/>
      <c r="CB313" s="1"/>
      <c r="CC313" s="1"/>
      <c r="CD313" s="1"/>
      <c r="CE313" s="1"/>
      <c r="CF313" s="1"/>
      <c r="CG313" s="1"/>
      <c r="CH313" s="1"/>
      <c r="CI313" s="1">
        <f>199400+139500</f>
        <v>338900</v>
      </c>
      <c r="CJ313" s="1"/>
      <c r="CK313" s="1"/>
      <c r="CL313" s="366">
        <f t="shared" si="144"/>
        <v>338900</v>
      </c>
      <c r="CM313" s="1"/>
      <c r="CN313" s="1"/>
      <c r="CO313" s="1"/>
      <c r="CP313" s="1"/>
      <c r="CQ313" s="1"/>
      <c r="CR313" s="1"/>
      <c r="CS313" s="1"/>
      <c r="CT313" s="1"/>
      <c r="CU313" s="1"/>
      <c r="CV313" s="1"/>
      <c r="CW313" s="1"/>
      <c r="CX313" s="1"/>
      <c r="CY313" s="1">
        <f t="shared" si="145"/>
        <v>0</v>
      </c>
      <c r="DC313" s="1"/>
      <c r="DD313" s="1"/>
      <c r="DE313" s="1"/>
      <c r="DF313" s="1"/>
      <c r="DG313" s="1"/>
      <c r="DH313" s="1"/>
      <c r="DI313" s="1"/>
      <c r="DJ313" s="1"/>
      <c r="DK313" s="1"/>
      <c r="DL313" s="1"/>
      <c r="DM313" s="1"/>
      <c r="DN313" s="1"/>
      <c r="DO313" s="521">
        <f t="shared" si="146"/>
        <v>0</v>
      </c>
    </row>
    <row r="314" spans="1:119" s="19" customFormat="1" ht="61.5" customHeight="1" thickBot="1" x14ac:dyDescent="0.25">
      <c r="A314" s="341" t="s">
        <v>1345</v>
      </c>
      <c r="B314" s="118" t="s">
        <v>107</v>
      </c>
      <c r="C314" s="341" t="s">
        <v>1347</v>
      </c>
      <c r="D314" s="118" t="s">
        <v>1335</v>
      </c>
      <c r="E314" s="118" t="s">
        <v>1374</v>
      </c>
      <c r="F314" s="118" t="s">
        <v>49</v>
      </c>
      <c r="G314" s="118" t="s">
        <v>328</v>
      </c>
      <c r="H314" s="118" t="s">
        <v>316</v>
      </c>
      <c r="I314" s="340">
        <v>44757</v>
      </c>
      <c r="J314" s="340">
        <v>45853</v>
      </c>
      <c r="K314" s="342" t="s">
        <v>493</v>
      </c>
      <c r="L314" s="347"/>
      <c r="M314" s="343">
        <f t="shared" si="129"/>
        <v>0</v>
      </c>
      <c r="N314" s="344">
        <f t="shared" si="130"/>
        <v>0</v>
      </c>
      <c r="O314" s="345">
        <f t="shared" si="131"/>
        <v>0</v>
      </c>
      <c r="P314" s="343">
        <f t="shared" si="132"/>
        <v>0</v>
      </c>
      <c r="Q314" s="344">
        <f>O312+P312</f>
        <v>0</v>
      </c>
      <c r="R314" s="345">
        <f t="shared" si="133"/>
        <v>0</v>
      </c>
      <c r="S314" s="343">
        <f t="shared" si="134"/>
        <v>0</v>
      </c>
      <c r="T314" s="346">
        <f t="shared" si="135"/>
        <v>0</v>
      </c>
      <c r="U314" s="286">
        <f t="shared" si="136"/>
        <v>0</v>
      </c>
      <c r="V314" s="286">
        <f t="shared" si="137"/>
        <v>0</v>
      </c>
      <c r="W314" s="347">
        <f t="shared" si="138"/>
        <v>0</v>
      </c>
      <c r="X314" s="374" t="e">
        <f t="shared" si="139"/>
        <v>#VALUE!</v>
      </c>
      <c r="Y314" s="373">
        <f t="shared" si="140"/>
        <v>0</v>
      </c>
      <c r="Z314" s="373">
        <f t="shared" si="141"/>
        <v>0</v>
      </c>
      <c r="AA314" s="373">
        <f t="shared" si="142"/>
        <v>0</v>
      </c>
      <c r="AB314" s="374" t="e">
        <f t="shared" si="143"/>
        <v>#VALUE!</v>
      </c>
      <c r="AC314" s="309">
        <v>0</v>
      </c>
      <c r="AD314" s="36">
        <v>36</v>
      </c>
      <c r="AE314" s="36" t="s">
        <v>1304</v>
      </c>
      <c r="AF314" s="36">
        <v>0</v>
      </c>
      <c r="AG314" s="36">
        <v>0</v>
      </c>
      <c r="AH314" s="36" t="s">
        <v>53</v>
      </c>
      <c r="AI314" s="36" t="s">
        <v>53</v>
      </c>
      <c r="AJ314" s="36" t="s">
        <v>53</v>
      </c>
      <c r="AK314" s="36" t="s">
        <v>54</v>
      </c>
      <c r="AL314" s="348" t="s">
        <v>70</v>
      </c>
      <c r="AM314" s="337"/>
      <c r="AN314" s="337"/>
      <c r="AO314" s="337"/>
      <c r="AP314" s="337"/>
      <c r="AQ314" s="337"/>
      <c r="AR314" s="337"/>
      <c r="AS314" s="337"/>
      <c r="AT314" s="337"/>
      <c r="AU314" s="337"/>
      <c r="AV314" s="337"/>
      <c r="AW314" s="337"/>
      <c r="AX314" s="337"/>
      <c r="AY314" s="338"/>
      <c r="AZ314" s="337"/>
      <c r="BA314" s="337"/>
      <c r="BB314" s="337"/>
      <c r="BC314" s="337"/>
      <c r="BD314" s="337"/>
      <c r="BE314" s="337"/>
      <c r="BF314" s="337"/>
      <c r="BG314" s="337"/>
      <c r="BH314" s="337"/>
      <c r="BI314" s="337"/>
      <c r="BJ314" s="337"/>
      <c r="BK314" s="337"/>
      <c r="BL314" s="312"/>
      <c r="BM314" s="337"/>
      <c r="BN314" s="337"/>
      <c r="BO314" s="337"/>
      <c r="BP314" s="337"/>
      <c r="BQ314" s="337"/>
      <c r="BR314" s="337"/>
      <c r="BS314" s="337"/>
      <c r="BT314" s="337"/>
      <c r="BU314" s="337"/>
      <c r="BV314" s="337"/>
      <c r="BW314" s="337"/>
      <c r="BX314" s="337"/>
      <c r="BY314" s="337"/>
      <c r="BZ314" s="118"/>
      <c r="CA314" s="118"/>
      <c r="CB314" s="118"/>
      <c r="CC314" s="118"/>
      <c r="CD314" s="118"/>
      <c r="CE314" s="118"/>
      <c r="CF314" s="118"/>
      <c r="CG314" s="118"/>
      <c r="CH314" s="118"/>
      <c r="CI314" s="118"/>
      <c r="CJ314" s="118"/>
      <c r="CK314" s="118"/>
      <c r="CL314" s="368">
        <f t="shared" si="144"/>
        <v>0</v>
      </c>
      <c r="CM314" s="118"/>
      <c r="CN314" s="118"/>
      <c r="CO314" s="118"/>
      <c r="CP314" s="118"/>
      <c r="CQ314" s="118"/>
      <c r="CR314" s="118"/>
      <c r="CS314" s="118"/>
      <c r="CT314" s="118"/>
      <c r="CU314" s="118"/>
      <c r="CV314" s="118"/>
      <c r="CW314" s="118"/>
      <c r="CX314" s="118"/>
      <c r="CY314" s="1">
        <f t="shared" si="145"/>
        <v>0</v>
      </c>
      <c r="CZ314" s="339"/>
      <c r="DA314" s="339"/>
      <c r="DB314" s="339"/>
      <c r="DC314" s="519"/>
      <c r="DD314" s="519"/>
      <c r="DE314" s="519"/>
      <c r="DF314" s="519"/>
      <c r="DG314" s="519"/>
      <c r="DH314" s="519"/>
      <c r="DI314" s="519"/>
      <c r="DJ314" s="519"/>
      <c r="DK314" s="519"/>
      <c r="DL314" s="519"/>
      <c r="DM314" s="519"/>
      <c r="DN314" s="519"/>
      <c r="DO314" s="521">
        <f t="shared" si="146"/>
        <v>0</v>
      </c>
    </row>
    <row r="317" spans="1:119" ht="27.75" customHeight="1" x14ac:dyDescent="0.25">
      <c r="A317" t="s">
        <v>1876</v>
      </c>
    </row>
    <row r="318" spans="1:119" ht="25.9" customHeight="1" x14ac:dyDescent="0.25">
      <c r="B318" t="s">
        <v>1877</v>
      </c>
      <c r="C318" t="s">
        <v>1878</v>
      </c>
      <c r="D318" t="s">
        <v>1879</v>
      </c>
    </row>
    <row r="319" spans="1:119" ht="25.9" customHeight="1" x14ac:dyDescent="0.25">
      <c r="A319" t="s">
        <v>144</v>
      </c>
      <c r="B319" s="4" t="s">
        <v>72</v>
      </c>
      <c r="C319" s="545" t="s">
        <v>1880</v>
      </c>
      <c r="D319">
        <v>1346425.4740000002</v>
      </c>
    </row>
    <row r="520" spans="1:7" ht="25.9" customHeight="1" x14ac:dyDescent="0.25">
      <c r="A520" s="901" t="s">
        <v>2069</v>
      </c>
      <c r="B520" s="901" t="s">
        <v>107</v>
      </c>
      <c r="C520" s="901" t="s">
        <v>498</v>
      </c>
      <c r="D520" t="s">
        <v>2061</v>
      </c>
      <c r="G520" t="s">
        <v>49</v>
      </c>
    </row>
    <row r="521" spans="1:7" ht="25.9" customHeight="1" x14ac:dyDescent="0.25">
      <c r="A521" s="901"/>
      <c r="B521" s="901"/>
      <c r="C521" s="901"/>
      <c r="D521" t="s">
        <v>1503</v>
      </c>
    </row>
    <row r="522" spans="1:7" ht="25.9" customHeight="1" x14ac:dyDescent="0.25">
      <c r="A522" s="901"/>
      <c r="B522" s="901"/>
      <c r="C522" s="901"/>
      <c r="D522" t="s">
        <v>2062</v>
      </c>
    </row>
    <row r="523" spans="1:7" ht="25.9" customHeight="1" x14ac:dyDescent="0.25">
      <c r="A523" s="901"/>
      <c r="B523" s="901"/>
      <c r="C523" s="901"/>
      <c r="D523" t="s">
        <v>617</v>
      </c>
    </row>
    <row r="524" spans="1:7" ht="25.9" customHeight="1" x14ac:dyDescent="0.25">
      <c r="A524" s="901"/>
      <c r="B524" s="901"/>
      <c r="C524" s="901"/>
      <c r="D524" t="s">
        <v>2063</v>
      </c>
    </row>
    <row r="525" spans="1:7" ht="25.9" customHeight="1" x14ac:dyDescent="0.25">
      <c r="A525" s="901"/>
      <c r="B525" s="901"/>
      <c r="C525" s="901"/>
      <c r="D525" t="s">
        <v>1497</v>
      </c>
    </row>
    <row r="526" spans="1:7" ht="25.9" customHeight="1" x14ac:dyDescent="0.25">
      <c r="A526" s="901"/>
      <c r="B526" s="901"/>
      <c r="C526" s="901"/>
      <c r="D526" t="s">
        <v>2064</v>
      </c>
    </row>
    <row r="527" spans="1:7" ht="25.9" customHeight="1" x14ac:dyDescent="0.25">
      <c r="A527" s="901"/>
      <c r="B527" s="901"/>
      <c r="C527" s="901"/>
      <c r="D527" t="s">
        <v>1732</v>
      </c>
    </row>
    <row r="528" spans="1:7" ht="25.9" customHeight="1" x14ac:dyDescent="0.25">
      <c r="A528" s="901"/>
      <c r="B528" s="901"/>
      <c r="C528" s="901"/>
      <c r="D528" t="s">
        <v>2065</v>
      </c>
    </row>
    <row r="529" spans="1:4" ht="25.9" customHeight="1" x14ac:dyDescent="0.25">
      <c r="A529" s="901"/>
      <c r="B529" s="901"/>
      <c r="C529" s="901"/>
      <c r="D529" t="s">
        <v>2066</v>
      </c>
    </row>
    <row r="530" spans="1:4" ht="25.9" customHeight="1" x14ac:dyDescent="0.25">
      <c r="A530" s="901"/>
      <c r="B530" s="901"/>
      <c r="C530" s="901"/>
      <c r="D530" t="s">
        <v>504</v>
      </c>
    </row>
    <row r="531" spans="1:4" ht="25.9" customHeight="1" x14ac:dyDescent="0.25">
      <c r="A531" s="901"/>
      <c r="B531" s="901"/>
      <c r="C531" s="901"/>
      <c r="D531" t="s">
        <v>1235</v>
      </c>
    </row>
    <row r="532" spans="1:4" ht="25.9" customHeight="1" x14ac:dyDescent="0.25">
      <c r="A532" s="901"/>
      <c r="B532" s="901"/>
      <c r="C532" s="901"/>
      <c r="D532" t="s">
        <v>2067</v>
      </c>
    </row>
    <row r="533" spans="1:4" ht="25.9" customHeight="1" x14ac:dyDescent="0.25">
      <c r="A533" s="901"/>
      <c r="B533" s="901"/>
      <c r="C533" s="901"/>
      <c r="D533" t="s">
        <v>2068</v>
      </c>
    </row>
  </sheetData>
  <autoFilter ref="A2:BR190" xr:uid="{E14D88D3-BAEA-40B1-9F6B-DBD86CEFAEC4}"/>
  <mergeCells count="189">
    <mergeCell ref="C520:C533"/>
    <mergeCell ref="B520:B533"/>
    <mergeCell ref="A520:A533"/>
    <mergeCell ref="C39:C47"/>
    <mergeCell ref="AO298:AO299"/>
    <mergeCell ref="AH298:AH299"/>
    <mergeCell ref="A298:A299"/>
    <mergeCell ref="B298:B299"/>
    <mergeCell ref="C298:C299"/>
    <mergeCell ref="G298:G299"/>
    <mergeCell ref="H298:H299"/>
    <mergeCell ref="H287:H289"/>
    <mergeCell ref="G287:G289"/>
    <mergeCell ref="C287:C289"/>
    <mergeCell ref="B287:B289"/>
    <mergeCell ref="A287:A289"/>
    <mergeCell ref="AO287:AO289"/>
    <mergeCell ref="AO290:AO294"/>
    <mergeCell ref="AO295:AO297"/>
    <mergeCell ref="AH287:AH289"/>
    <mergeCell ref="AH290:AH294"/>
    <mergeCell ref="AH295:AH297"/>
    <mergeCell ref="A290:A294"/>
    <mergeCell ref="B290:B294"/>
    <mergeCell ref="C290:C294"/>
    <mergeCell ref="G290:G294"/>
    <mergeCell ref="H290:H294"/>
    <mergeCell ref="A295:A296"/>
    <mergeCell ref="B295:B297"/>
    <mergeCell ref="C295:C297"/>
    <mergeCell ref="G295:G297"/>
    <mergeCell ref="H295:H297"/>
    <mergeCell ref="AK283:AK284"/>
    <mergeCell ref="AD283:AD284"/>
    <mergeCell ref="A283:A284"/>
    <mergeCell ref="B283:B284"/>
    <mergeCell ref="C283:C284"/>
    <mergeCell ref="G283:G284"/>
    <mergeCell ref="H283:H284"/>
    <mergeCell ref="A280:A281"/>
    <mergeCell ref="B280:B282"/>
    <mergeCell ref="C280:C282"/>
    <mergeCell ref="G280:G282"/>
    <mergeCell ref="H280:H282"/>
    <mergeCell ref="AK278:AK279"/>
    <mergeCell ref="AK280:AK282"/>
    <mergeCell ref="AD278:AD279"/>
    <mergeCell ref="AD280:AD282"/>
    <mergeCell ref="B278:B279"/>
    <mergeCell ref="C278:C279"/>
    <mergeCell ref="G278:G279"/>
    <mergeCell ref="H278:H279"/>
    <mergeCell ref="AK273:AK277"/>
    <mergeCell ref="AD273:AD276"/>
    <mergeCell ref="A273:A277"/>
    <mergeCell ref="B273:B277"/>
    <mergeCell ref="C273:C277"/>
    <mergeCell ref="G273:G277"/>
    <mergeCell ref="H273:H277"/>
    <mergeCell ref="AK270:AK272"/>
    <mergeCell ref="AD270:AD272"/>
    <mergeCell ref="A270:A272"/>
    <mergeCell ref="B270:B272"/>
    <mergeCell ref="C270:C272"/>
    <mergeCell ref="G270:G272"/>
    <mergeCell ref="H270:H272"/>
    <mergeCell ref="AK268:AK269"/>
    <mergeCell ref="AD264:AD267"/>
    <mergeCell ref="AD268:AD269"/>
    <mergeCell ref="A264:A267"/>
    <mergeCell ref="B264:B267"/>
    <mergeCell ref="C264:C267"/>
    <mergeCell ref="G264:G267"/>
    <mergeCell ref="H264:H267"/>
    <mergeCell ref="A268:A269"/>
    <mergeCell ref="B268:B269"/>
    <mergeCell ref="C268:C269"/>
    <mergeCell ref="G268:G269"/>
    <mergeCell ref="H268:H269"/>
    <mergeCell ref="AK262:AK263"/>
    <mergeCell ref="B262:B263"/>
    <mergeCell ref="C262:C263"/>
    <mergeCell ref="A262:A263"/>
    <mergeCell ref="AK264:AK267"/>
    <mergeCell ref="AK260:AK261"/>
    <mergeCell ref="AD260:AD261"/>
    <mergeCell ref="A260:A261"/>
    <mergeCell ref="B260:B261"/>
    <mergeCell ref="C260:C261"/>
    <mergeCell ref="G260:G261"/>
    <mergeCell ref="H260:H261"/>
    <mergeCell ref="AK257:AK259"/>
    <mergeCell ref="AD257:AD259"/>
    <mergeCell ref="A257:A259"/>
    <mergeCell ref="B257:B259"/>
    <mergeCell ref="C257:C259"/>
    <mergeCell ref="G257:G259"/>
    <mergeCell ref="H257:H259"/>
    <mergeCell ref="AK252:AK254"/>
    <mergeCell ref="AD252:AD254"/>
    <mergeCell ref="A252:A254"/>
    <mergeCell ref="B252:B254"/>
    <mergeCell ref="C252:C254"/>
    <mergeCell ref="G252:G254"/>
    <mergeCell ref="H252:H254"/>
    <mergeCell ref="AK243:AK245"/>
    <mergeCell ref="AK246:AK251"/>
    <mergeCell ref="AD243:AD245"/>
    <mergeCell ref="AD246:AD251"/>
    <mergeCell ref="A243:A245"/>
    <mergeCell ref="B243:B245"/>
    <mergeCell ref="C243:C245"/>
    <mergeCell ref="G243:G245"/>
    <mergeCell ref="H243:H245"/>
    <mergeCell ref="A246:A251"/>
    <mergeCell ref="B246:B251"/>
    <mergeCell ref="C246:C251"/>
    <mergeCell ref="G246:G251"/>
    <mergeCell ref="H246:H251"/>
    <mergeCell ref="AK237:AK239"/>
    <mergeCell ref="AK240:AK242"/>
    <mergeCell ref="AD237:AD239"/>
    <mergeCell ref="AD240:AD242"/>
    <mergeCell ref="A237:A239"/>
    <mergeCell ref="B237:B239"/>
    <mergeCell ref="C237:C239"/>
    <mergeCell ref="G237:G239"/>
    <mergeCell ref="H237:H239"/>
    <mergeCell ref="A240:A242"/>
    <mergeCell ref="B240:B242"/>
    <mergeCell ref="C240:C242"/>
    <mergeCell ref="G240:G242"/>
    <mergeCell ref="H240:H242"/>
    <mergeCell ref="AJ230:AJ236"/>
    <mergeCell ref="AC230:AC236"/>
    <mergeCell ref="A230:A236"/>
    <mergeCell ref="B230:B236"/>
    <mergeCell ref="F230:F236"/>
    <mergeCell ref="G230:G236"/>
    <mergeCell ref="AK224:AK225"/>
    <mergeCell ref="AK227:AK229"/>
    <mergeCell ref="AD227:AD229"/>
    <mergeCell ref="AD224:AD225"/>
    <mergeCell ref="A224:A225"/>
    <mergeCell ref="B224:B225"/>
    <mergeCell ref="C224:C225"/>
    <mergeCell ref="G224:G225"/>
    <mergeCell ref="H224:H225"/>
    <mergeCell ref="A227:A229"/>
    <mergeCell ref="B227:B229"/>
    <mergeCell ref="C227:C229"/>
    <mergeCell ref="G227:G229"/>
    <mergeCell ref="H227:H229"/>
    <mergeCell ref="AK221:AK223"/>
    <mergeCell ref="AD221:AD223"/>
    <mergeCell ref="A221:A223"/>
    <mergeCell ref="B221:B223"/>
    <mergeCell ref="C221:C223"/>
    <mergeCell ref="G221:G223"/>
    <mergeCell ref="H221:H223"/>
    <mergeCell ref="AD211:AD213"/>
    <mergeCell ref="AK211:AK213"/>
    <mergeCell ref="AK218:AK219"/>
    <mergeCell ref="AD218:AD219"/>
    <mergeCell ref="A218:A219"/>
    <mergeCell ref="B218:B219"/>
    <mergeCell ref="C218:C219"/>
    <mergeCell ref="G218:G219"/>
    <mergeCell ref="H218:H219"/>
    <mergeCell ref="A211:A213"/>
    <mergeCell ref="B211:B213"/>
    <mergeCell ref="C211:C213"/>
    <mergeCell ref="G211:G213"/>
    <mergeCell ref="H211:H213"/>
    <mergeCell ref="AK214:AK217"/>
    <mergeCell ref="AD214:AD217"/>
    <mergeCell ref="A214:A217"/>
    <mergeCell ref="DC1:DO1"/>
    <mergeCell ref="B214:B217"/>
    <mergeCell ref="C214:C217"/>
    <mergeCell ref="G214:G217"/>
    <mergeCell ref="H214:H217"/>
    <mergeCell ref="C188:C189"/>
    <mergeCell ref="AF1:AR1"/>
    <mergeCell ref="AS1:BE1"/>
    <mergeCell ref="BF1:BR1"/>
    <mergeCell ref="C116:C117"/>
    <mergeCell ref="C183:C184"/>
    <mergeCell ref="C185:C186"/>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EFAD3-B3EC-4BA5-B11E-854C550B8A24}">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CAPITAL</vt:lpstr>
      <vt:lpstr>OPERATIONAL</vt:lpstr>
      <vt:lpstr>RATES BASED</vt:lpstr>
      <vt:lpstr>EXPIRED</vt:lpstr>
      <vt:lpstr>Sheet2</vt:lpstr>
      <vt:lpstr>CAPITAL!_Hlk151538880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KTeepa</dc:creator>
  <cp:lastModifiedBy>Philasande Ntuli</cp:lastModifiedBy>
  <cp:lastPrinted>2024-04-25T07:09:32Z</cp:lastPrinted>
  <dcterms:created xsi:type="dcterms:W3CDTF">2022-06-29T08:51:37Z</dcterms:created>
  <dcterms:modified xsi:type="dcterms:W3CDTF">2025-08-20T10:17:42Z</dcterms:modified>
</cp:coreProperties>
</file>